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1491512D-015D-441C-B24B-6C376161A208}" xr6:coauthVersionLast="47" xr6:coauthVersionMax="47" xr10:uidLastSave="{00000000-0000-0000-0000-000000000000}"/>
  <workbookProtection workbookAlgorithmName="SHA-512" workbookHashValue="Lk6D5unKJdZojP2o9yCbR5EVe+33TMu9oOS2+j1xuUN8cKd/pf63+qpQA82Eg0G3r92w3fznWg7M5I6cFDeQEw==" workbookSaltValue="FRR4NrgdtU0cR4f2IlKojg==" workbookSpinCount="100000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1" l="1"/>
  <c r="Q1" i="1"/>
  <c r="P1" i="1"/>
  <c r="AI1" i="1"/>
  <c r="AH1" i="1"/>
  <c r="AG1" i="1"/>
  <c r="AF1" i="1"/>
  <c r="AE1" i="1"/>
  <c r="AC1" i="1"/>
  <c r="AB1" i="1"/>
  <c r="AA1" i="1"/>
  <c r="Z1" i="1"/>
  <c r="X1" i="1"/>
  <c r="W1" i="1"/>
  <c r="V1" i="1"/>
  <c r="T1" i="1"/>
  <c r="O1" i="1"/>
  <c r="N1" i="1"/>
  <c r="M1" i="1"/>
  <c r="H45" i="1"/>
  <c r="F4" i="1"/>
  <c r="E4" i="1"/>
  <c r="D4" i="1"/>
  <c r="C4" i="1"/>
  <c r="B4" i="1"/>
  <c r="Y1" i="1"/>
  <c r="AE40" i="1"/>
  <c r="AI2" i="1"/>
  <c r="AH2" i="1"/>
  <c r="AG2" i="1"/>
  <c r="AD1" i="1"/>
  <c r="T2" i="1"/>
  <c r="I1" i="1"/>
  <c r="H1" i="1"/>
  <c r="G1" i="1"/>
  <c r="F1" i="1"/>
  <c r="E1" i="1"/>
  <c r="D1" i="1"/>
  <c r="C1" i="1"/>
  <c r="B1" i="1"/>
  <c r="U1" i="1"/>
  <c r="L1" i="1"/>
  <c r="J1" i="1"/>
  <c r="K1" i="1"/>
  <c r="R2" i="1"/>
  <c r="R23" i="1"/>
  <c r="AE43" i="1"/>
  <c r="B21" i="1" l="1"/>
  <c r="J23" i="1"/>
  <c r="AF2" i="1"/>
  <c r="AE2" i="1"/>
  <c r="AD2" i="1"/>
  <c r="AC2" i="1"/>
  <c r="AB2" i="1"/>
  <c r="AA2" i="1"/>
  <c r="Z2" i="1"/>
  <c r="Y2" i="1"/>
  <c r="X2" i="1"/>
  <c r="W2" i="1"/>
  <c r="V2" i="1"/>
  <c r="U2" i="1"/>
  <c r="S2" i="1"/>
  <c r="C45" i="1"/>
  <c r="AF45" i="1" l="1"/>
  <c r="AF44" i="1" l="1"/>
  <c r="G52" i="1" l="1"/>
  <c r="AE30" i="1" l="1"/>
  <c r="AE41" i="1" s="1"/>
  <c r="AE42" i="1" s="1"/>
  <c r="Y34" i="1" l="1"/>
  <c r="H4" i="1" s="1"/>
</calcChain>
</file>

<file path=xl/sharedStrings.xml><?xml version="1.0" encoding="utf-8"?>
<sst xmlns="http://schemas.openxmlformats.org/spreadsheetml/2006/main" count="95" uniqueCount="85">
  <si>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</si>
  <si>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</si>
  <si>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</si>
  <si>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</si>
  <si>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</si>
  <si>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</si>
  <si>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</si>
  <si>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</si>
  <si>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</si>
  <si>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</si>
  <si>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</si>
  <si>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</si>
  <si>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</si>
  <si>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 xml:space="preserve">Durchmesser mm: </t>
  </si>
  <si>
    <t>h1</t>
  </si>
  <si>
    <t xml:space="preserve">D </t>
  </si>
  <si>
    <t>Auslauf m.ü.M</t>
  </si>
  <si>
    <t>HT</t>
  </si>
  <si>
    <t>h2</t>
  </si>
  <si>
    <t>O.K. Deckel m.ü.M</t>
  </si>
  <si>
    <t>Trittnischen</t>
  </si>
  <si>
    <t>links</t>
  </si>
  <si>
    <t>rechts</t>
  </si>
  <si>
    <t>nur Schachtunterteil</t>
  </si>
  <si>
    <t>Anschlüsse</t>
  </si>
  <si>
    <t>Nennweite (mm)</t>
  </si>
  <si>
    <t>Rohrmaterial</t>
  </si>
  <si>
    <t>Serie / Typ</t>
  </si>
  <si>
    <t>Gefälle J (%)</t>
  </si>
  <si>
    <t>Kote (m.ü.M)</t>
  </si>
  <si>
    <t>Auslauf</t>
  </si>
  <si>
    <t>Einlauf</t>
  </si>
  <si>
    <t>Zulauf 1</t>
  </si>
  <si>
    <t>Zulauf 2</t>
  </si>
  <si>
    <t>Zulauf 3</t>
  </si>
  <si>
    <t>Zulauf 4</t>
  </si>
  <si>
    <t>Bemerkungen</t>
  </si>
  <si>
    <t>CENTUB</t>
  </si>
  <si>
    <t>PUC-U</t>
  </si>
  <si>
    <t>PP</t>
  </si>
  <si>
    <t>PEHD</t>
  </si>
  <si>
    <t>GFK</t>
  </si>
  <si>
    <t>GGG</t>
  </si>
  <si>
    <t>STZ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</si>
  <si>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</si>
  <si>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</si>
  <si>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</si>
  <si>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</si>
  <si>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</si>
  <si>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</si>
  <si>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</si>
  <si>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</si>
  <si>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</si>
  <si>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</si>
  <si>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</si>
  <si>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</si>
  <si>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</si>
  <si>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</si>
  <si>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gegen Fliessrichtung</t>
  </si>
  <si>
    <t>Unterteilhöhe</t>
  </si>
  <si>
    <t xml:space="preserve">Schachthöhe </t>
  </si>
  <si>
    <t xml:space="preserve">Schachtring </t>
  </si>
  <si>
    <t>RIKO DN / 600</t>
  </si>
  <si>
    <r>
      <t>Winkel</t>
    </r>
    <r>
      <rPr>
        <b/>
        <sz val="10"/>
        <rFont val="Arial"/>
        <family val="2"/>
      </rPr>
      <t xml:space="preserve"> in °</t>
    </r>
  </si>
  <si>
    <t>HS</t>
  </si>
  <si>
    <t xml:space="preserve">Deckelhöhe </t>
  </si>
  <si>
    <t>HD</t>
  </si>
  <si>
    <t>Abdeckpl. DN/625</t>
  </si>
  <si>
    <t>h3</t>
  </si>
  <si>
    <t>MAROWA</t>
  </si>
  <si>
    <t>Konus DN/ 625</t>
  </si>
  <si>
    <t>t1=</t>
  </si>
  <si>
    <t>mm</t>
  </si>
  <si>
    <t>Bodenstärke t1 erhöhen</t>
  </si>
  <si>
    <t>Lieferung LKW spezifikationen</t>
  </si>
  <si>
    <t>auf Baustelle</t>
  </si>
  <si>
    <t>Lieferzeit</t>
  </si>
  <si>
    <t>Gehänge mitliefern</t>
  </si>
  <si>
    <t>Gehänge mit Kunde klären</t>
  </si>
  <si>
    <t>Auflageringe DN 625</t>
  </si>
  <si>
    <t>Lieferwerk</t>
  </si>
  <si>
    <t>Höhe (mm) gem. Plan</t>
  </si>
  <si>
    <t>A 06 01 CENTUB®-Massschachtunterteil
Bestellformular</t>
  </si>
  <si>
    <t>CREABETON Sept 2024/str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</si>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</sst>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;;;"/>
  </numFmts>
  <fonts count="19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Frutiger LT Std 47 Light Cn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9" fillId="0" borderId="11" xfId="0" applyFont="1" applyBorder="1"/>
    <xf numFmtId="0" fontId="1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/>
    <xf numFmtId="0" fontId="9" fillId="0" borderId="8" xfId="0" applyFont="1" applyBorder="1" applyAlignment="1">
      <alignment vertical="center"/>
    </xf>
    <xf numFmtId="0" fontId="9" fillId="0" borderId="3" xfId="0" applyFont="1" applyBorder="1"/>
    <xf numFmtId="0" fontId="14" fillId="0" borderId="8" xfId="0" applyFont="1" applyBorder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3" xfId="0" applyFont="1" applyBorder="1"/>
    <xf numFmtId="0" fontId="16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7" xfId="0" applyFont="1" applyBorder="1"/>
    <xf numFmtId="0" fontId="9" fillId="0" borderId="18" xfId="0" applyFont="1" applyBorder="1"/>
    <xf numFmtId="0" fontId="10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11" xfId="0" applyFont="1" applyBorder="1"/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12" xfId="0" applyBorder="1"/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/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/>
    <xf numFmtId="165" fontId="0" fillId="0" borderId="0" xfId="0" applyNumberFormat="1"/>
    <xf numFmtId="2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2" fontId="10" fillId="0" borderId="2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7" fillId="2" borderId="13" xfId="2" applyFill="1" applyBorder="1" applyAlignment="1" applyProtection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1" fontId="0" fillId="0" borderId="2" xfId="0" applyNumberFormat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2" borderId="2" xfId="0" applyFont="1" applyFill="1" applyBorder="1"/>
    <xf numFmtId="0" fontId="12" fillId="2" borderId="10" xfId="0" applyFont="1" applyFill="1" applyBorder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3" xfId="0" applyFont="1" applyBorder="1"/>
    <xf numFmtId="0" fontId="0" fillId="0" borderId="3" xfId="0" applyBorder="1"/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76200</xdr:colOff>
          <xdr:row>29</xdr:row>
          <xdr:rowOff>171450</xdr:rowOff>
        </xdr:from>
        <xdr:to>
          <xdr:col>23</xdr:col>
          <xdr:colOff>104775</xdr:colOff>
          <xdr:row>41</xdr:row>
          <xdr:rowOff>123825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15240</xdr:rowOff>
    </xdr:from>
    <xdr:to>
      <xdr:col>11</xdr:col>
      <xdr:colOff>114300</xdr:colOff>
      <xdr:row>44</xdr:row>
      <xdr:rowOff>91440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104775</xdr:rowOff>
        </xdr:from>
        <xdr:to>
          <xdr:col>11</xdr:col>
          <xdr:colOff>85725</xdr:colOff>
          <xdr:row>43</xdr:row>
          <xdr:rowOff>161925</xdr:rowOff>
        </xdr:to>
        <xdr:sp macro="" textlink="">
          <xdr:nvSpPr>
            <xdr:cNvPr id="1511" name="Object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36</xdr:col>
      <xdr:colOff>12700</xdr:colOff>
      <xdr:row>5</xdr:row>
      <xdr:rowOff>6350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572250" cy="16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showGridLines="0" tabSelected="1" view="pageLayout" zoomScaleNormal="100" workbookViewId="0">
      <selection activeCell="R8" sqref="R8:Z8"/>
    </sheetView>
  </sheetViews>
  <sheetFormatPr baseColWidth="10" defaultColWidth="1.5703125" defaultRowHeight="12.75"/>
  <cols>
    <col min="1" max="35" width="2.5703125" style="1" customWidth="1"/>
    <col min="36" max="36" width="1.5703125" style="1"/>
    <col min="37" max="37" width="2.140625" style="1" bestFit="1" customWidth="1"/>
    <col min="38" max="16384" width="1.5703125" style="1"/>
  </cols>
  <sheetData>
    <row r="1" spans="1:35" ht="2.85" customHeight="1">
      <c r="A1" s="70"/>
      <c r="B1" s="1" t="str">
        <f>IF($AE$31="","",110)</f>
        <v/>
      </c>
      <c r="C1" s="1" t="str">
        <f>IF($AE$31="","",125)</f>
        <v/>
      </c>
      <c r="D1" s="1" t="str">
        <f>IF($AE$31="","",160)</f>
        <v/>
      </c>
      <c r="E1" s="1" t="str">
        <f>IF($AE$31&gt;=475,200,"")</f>
        <v/>
      </c>
      <c r="F1" s="1" t="str">
        <f>IF(OR($Z$27&lt;800,$AE$31&lt;475)," ",250)</f>
        <v xml:space="preserve"> </v>
      </c>
      <c r="G1" s="1" t="str">
        <f>IF($AE$31&gt;=550,300,"")</f>
        <v/>
      </c>
      <c r="H1" s="1" t="str">
        <f>IF($AE$31&gt;=675,350,"")</f>
        <v/>
      </c>
      <c r="I1" s="1" t="str">
        <f>IF($AE$31&gt;=675,400,"")</f>
        <v/>
      </c>
      <c r="J1" s="1" t="str">
        <f>IF(OR($Z$27&lt;1000,$AE$31&lt;800)," ",450)</f>
        <v xml:space="preserve"> </v>
      </c>
      <c r="K1" s="1" t="str">
        <f>IF(OR($Z$27&lt;1000,$AE$31&lt;800)," ",500)</f>
        <v xml:space="preserve"> </v>
      </c>
      <c r="L1" s="1" t="str">
        <f>IF(OR($Z$27&lt;1000,$AE$31&lt;925)," ",600)</f>
        <v xml:space="preserve"> </v>
      </c>
      <c r="M1" s="1" t="str">
        <f>IF(AE31=1200,700,IF(OR($Z$27&lt;1000,$AE$31&lt;1280),"",700))</f>
        <v/>
      </c>
      <c r="N1" s="1" t="str">
        <f>IF(AE31=1200,800,IF(AND($Z$27=1200,$AE$31=1280,$X$17="Werk Lyss")," ",IF(OR($Z$27&lt;1000,$AE$31&lt;1280)," ",800)))</f>
        <v xml:space="preserve"> </v>
      </c>
      <c r="O1" s="71" t="str">
        <f>IF(AE31&gt;=1325,900,"")</f>
        <v/>
      </c>
      <c r="P1" s="1" t="str">
        <f>IF(AE31&gt;=1450,1000,"")</f>
        <v/>
      </c>
      <c r="Q1" s="1" t="str">
        <f>IF(AE31&gt;=1700,1100,"")</f>
        <v/>
      </c>
      <c r="R1" s="1" t="str">
        <f>IF(AE31&gt;=1700,1200,"")</f>
        <v/>
      </c>
      <c r="T1" s="71" t="str">
        <f>IF($Z$27="","DN auswählen","")</f>
        <v>DN auswählen</v>
      </c>
      <c r="U1" s="71" t="str">
        <f>IF($Z$27="","",IF($X$17="","Lieferwerk?",IF($Z$27=800,350,"")))</f>
        <v/>
      </c>
      <c r="V1" s="71" t="str">
        <f>IF($Z$27="","",IF($X$17="","Lieferwerk?",IF($Z$27=800,475,"")))</f>
        <v/>
      </c>
      <c r="W1" s="71" t="str">
        <f>IF($Z$27="","",IF($X$17="","Lieferwerk?",IF($Z$27=800,600,"")))</f>
        <v/>
      </c>
      <c r="X1" s="71" t="str">
        <f>IF($Z$27="","",IF($X$17="","Lieferwerk?",IF($Z$27=800,725,"")))</f>
        <v/>
      </c>
      <c r="Y1" s="71" t="str">
        <f>IF($Z$27="","",IF($X$17="","Lieferwerk?",IF(AND($Z$27&gt;=799,$Z$27&lt;1500),550,IF($Z$27=1500,825,""))))</f>
        <v/>
      </c>
      <c r="Z1" s="71" t="str">
        <f>IF($Z$27="","",IF($X$17="","Lieferwerk?",IF(AND($Z$27&gt;=800,$Z$27&lt;1500),675,"")))</f>
        <v/>
      </c>
      <c r="AA1" s="71" t="str">
        <f>IF($Z$27="","",IF($X$17="","Lieferwerk?",IF(AND($Z$27&gt;=800,$Z$27&lt;1500),800,IF($Z$27=1500,950,""))))</f>
        <v/>
      </c>
      <c r="AB1" s="71" t="str">
        <f>IF($Z$27="","",IF($X$17="","Lieferwerk?",IF(AND($Z$27&gt;=800,$Z$27&lt;1500),925,IF($Z$27&gt;=1500,1075,""))))</f>
        <v/>
      </c>
      <c r="AC1" s="71" t="str">
        <f>IF($Z$27="","",IF($X$17="","Lieferwerk?",IF(AND($Z$27&gt;=999,$Z$27&lt;1500),1050,IF($Z$27&gt;=1500,1200,""))))</f>
        <v/>
      </c>
      <c r="AD1" s="71" t="str">
        <f>IF($Z$27="","",IF($X$17="","Lieferwerk?",IF(AND($X$17="Werk Brugg 71",$Z$27=1200),1030,"")))</f>
        <v/>
      </c>
      <c r="AE1" s="71" t="str">
        <f>IF($Z$27="","",IF($X$17="","Lieferwerk?",IF(AND($Z$27&gt;=999,Z27&lt;1500),1175,IF($Z$27&gt;=1500,1325,""))))</f>
        <v/>
      </c>
      <c r="AF1" s="71" t="str">
        <f>IF($Z$27="","",IF($X$17="","Lieferwerk?",IF(AND($Z$27&gt;=1199,$Z$27&lt;1500),1155,IF($Z$27&gt;=1500,1450,""))))</f>
        <v/>
      </c>
      <c r="AG1" s="71" t="str">
        <f>IF($Z$27="","",IF($X$17="","Lieferwerk?",IF(AND($Z$27&gt;=1199,$Z$27&lt;1500),1280,IF($Z$27&gt;=1500,1575,""))))</f>
        <v/>
      </c>
      <c r="AH1" s="71" t="str">
        <f>IF($Z$27="","",IF($X$17="","Lieferwerk?",IF(AND($Z$27&gt;=1199,$Z$27&lt;1500),1405,IF($Z$27&gt;1500,1700,""))))</f>
        <v/>
      </c>
      <c r="AI1" s="71" t="str">
        <f>IF($Z$27="","",IF($X$17="","Lieferwerk?",IF(AND($Z$27&gt;=1199,$Z$27&lt;1500),1530,IF($Z$27&gt;1500,1825,""))))</f>
        <v/>
      </c>
    </row>
    <row r="2" spans="1:35" ht="2.85" customHeight="1">
      <c r="A2" s="72"/>
      <c r="B2" s="7" t="s">
        <v>37</v>
      </c>
      <c r="C2" s="7" t="s">
        <v>38</v>
      </c>
      <c r="D2" s="7" t="s">
        <v>39</v>
      </c>
      <c r="E2" s="7" t="s">
        <v>40</v>
      </c>
      <c r="F2" s="73" t="s">
        <v>41</v>
      </c>
      <c r="G2" s="7" t="s">
        <v>42</v>
      </c>
      <c r="H2" s="7" t="s">
        <v>43</v>
      </c>
      <c r="I2" s="1" t="s">
        <v>69</v>
      </c>
      <c r="R2" s="1">
        <f>IF($Z$27&lt;1200,375,"")</f>
        <v>375</v>
      </c>
      <c r="S2" s="1">
        <f>IF($Z$27&lt;1200,500,"")</f>
        <v>500</v>
      </c>
      <c r="T2" s="1" t="str">
        <f>IF(AND($Z$27&lt;1200,X17="Werk Lyss 11"),535,"")</f>
        <v/>
      </c>
      <c r="U2" s="1">
        <f>IF($Z$27&lt;1200,625,"")</f>
        <v>625</v>
      </c>
      <c r="V2" s="1">
        <f>IF($Z$27&lt;1200,750,"")</f>
        <v>750</v>
      </c>
      <c r="W2" s="1">
        <f>IF($Z$27&lt;1200,875,"")</f>
        <v>875</v>
      </c>
      <c r="X2" s="1">
        <f>IF($Z$27&lt;1200,1000,"")</f>
        <v>1000</v>
      </c>
      <c r="Y2" s="1">
        <f>IF($Z$27&lt;1200,1125,"")</f>
        <v>1125</v>
      </c>
      <c r="Z2" s="1">
        <f>IF($Z$27&lt;1200,1250,"")</f>
        <v>1250</v>
      </c>
      <c r="AA2" s="1">
        <f>IF($Z$27&lt;1200,1375,"")</f>
        <v>1375</v>
      </c>
      <c r="AB2" s="1">
        <f>IF($Z$27&lt;1200,1500,"")</f>
        <v>1500</v>
      </c>
      <c r="AC2" s="1">
        <f>IF($Z$27&lt;1200,1625,"")</f>
        <v>1625</v>
      </c>
      <c r="AD2" s="1">
        <f>IF($Z$27&lt;1200,1750,"")</f>
        <v>1750</v>
      </c>
      <c r="AE2" s="1">
        <f>IF($Z$27&lt;1200,1875,"")</f>
        <v>1875</v>
      </c>
      <c r="AF2" s="1">
        <f>IF($Z$27&lt;1200,2000,"")</f>
        <v>2000</v>
      </c>
      <c r="AG2" s="1" t="str">
        <f>IF(AND($Z$27&lt;1200,X17="Werk Brugg 71"),2125,"")</f>
        <v/>
      </c>
      <c r="AH2" s="1" t="str">
        <f>IF(AND($Z$27&lt;1200,X17="Werk Brugg 71"),2250,"")</f>
        <v/>
      </c>
      <c r="AI2" s="1" t="str">
        <f>IF(AND($Z$27&lt;1200,X17="Werk Brugg 71"),2375,"")</f>
        <v/>
      </c>
    </row>
    <row r="3" spans="1:35" ht="2.85" customHeight="1">
      <c r="A3" s="72"/>
      <c r="B3" s="4"/>
      <c r="C3" s="1" t="s">
        <v>44</v>
      </c>
      <c r="D3" s="1" t="s">
        <v>45</v>
      </c>
      <c r="E3" s="1" t="s">
        <v>47</v>
      </c>
      <c r="F3" s="1" t="s">
        <v>46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57</v>
      </c>
    </row>
    <row r="4" spans="1:35" ht="2.85" customHeight="1">
      <c r="A4" s="72"/>
      <c r="B4" s="4" t="str">
        <f>IF(X17="","bitte Lieferwerk auswählen",800)</f>
        <v>bitte Lieferwerk auswählen</v>
      </c>
      <c r="C4" s="4" t="str">
        <f>IF(X17="","",1000)</f>
        <v/>
      </c>
      <c r="D4" s="1" t="str">
        <f>IF(X17="","",1200)</f>
        <v/>
      </c>
      <c r="E4" s="1" t="str">
        <f>IF(X17="","",IF($X$17="Werk Lyss 11",1500,""))</f>
        <v/>
      </c>
      <c r="F4" s="1" t="str">
        <f>IF(X17="","",IF($X$17="Werk Lyss 11",2000,""))</f>
        <v/>
      </c>
      <c r="H4" s="26">
        <f>IF($Y$34="Ruhepodest?",500,0)</f>
        <v>0</v>
      </c>
    </row>
    <row r="5" spans="1:35" ht="2.85" customHeight="1">
      <c r="A5" s="72"/>
      <c r="B5" s="4"/>
      <c r="C5" s="4"/>
    </row>
    <row r="6" spans="1:35" s="2" customFormat="1" ht="13.7" customHeight="1">
      <c r="A6" s="147" t="s">
        <v>82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1" t="s">
        <v>84</v>
      </c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5" s="2" customFormat="1" ht="22.7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2"/>
      <c r="S7" s="142"/>
      <c r="T7" s="142"/>
      <c r="U7" s="142"/>
      <c r="V7" s="142"/>
      <c r="W7" s="142"/>
      <c r="X7" s="142"/>
      <c r="Y7" s="142"/>
      <c r="Z7" s="142"/>
      <c r="AA7" s="143"/>
      <c r="AB7" s="143"/>
      <c r="AC7" s="143"/>
      <c r="AD7" s="143"/>
      <c r="AE7" s="143"/>
      <c r="AF7" s="143"/>
      <c r="AG7" s="143"/>
      <c r="AH7" s="143"/>
      <c r="AI7" s="143"/>
    </row>
    <row r="8" spans="1:35" ht="17.100000000000001" customHeight="1">
      <c r="A8" s="41" t="s">
        <v>0</v>
      </c>
      <c r="B8" s="22"/>
      <c r="C8" s="22"/>
      <c r="D8" s="22"/>
      <c r="E8" s="22"/>
      <c r="F8" s="43" t="s">
        <v>5</v>
      </c>
      <c r="G8" s="42"/>
      <c r="H8" s="42"/>
      <c r="I8" s="42"/>
      <c r="J8" s="76"/>
      <c r="K8" s="77"/>
      <c r="L8" s="77"/>
      <c r="M8" s="77"/>
      <c r="N8" s="77"/>
      <c r="O8" s="77"/>
      <c r="P8" s="78"/>
      <c r="Q8" s="69"/>
      <c r="R8" s="79" t="s">
        <v>6</v>
      </c>
      <c r="S8" s="80"/>
      <c r="T8" s="80"/>
      <c r="U8" s="80"/>
      <c r="V8" s="80"/>
      <c r="W8" s="80"/>
      <c r="X8" s="80"/>
      <c r="Y8" s="80"/>
      <c r="Z8" s="81"/>
      <c r="AA8" s="82" t="s">
        <v>7</v>
      </c>
      <c r="AB8" s="83"/>
      <c r="AC8" s="83"/>
      <c r="AD8" s="84"/>
      <c r="AE8" s="84"/>
      <c r="AF8" s="84"/>
      <c r="AG8" s="84"/>
      <c r="AH8" s="84"/>
      <c r="AI8" s="85"/>
    </row>
    <row r="9" spans="1:35" ht="17.100000000000001" customHeight="1">
      <c r="A9" s="145"/>
      <c r="B9" s="146"/>
      <c r="C9" s="146"/>
      <c r="D9" s="146"/>
      <c r="E9" s="146"/>
      <c r="F9" s="146"/>
      <c r="G9" s="146"/>
      <c r="H9" s="146"/>
      <c r="I9" s="106"/>
      <c r="J9" s="106"/>
      <c r="K9" s="106"/>
      <c r="L9" s="106"/>
      <c r="M9" s="106"/>
      <c r="N9" s="106"/>
      <c r="O9" s="106"/>
      <c r="P9" s="107"/>
      <c r="Q9" s="4"/>
      <c r="R9" s="145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9"/>
    </row>
    <row r="10" spans="1:35" ht="17.100000000000001" customHeight="1">
      <c r="A10" s="145"/>
      <c r="B10" s="146"/>
      <c r="C10" s="146"/>
      <c r="D10" s="146"/>
      <c r="E10" s="146"/>
      <c r="F10" s="146"/>
      <c r="G10" s="146"/>
      <c r="H10" s="146"/>
      <c r="I10" s="106"/>
      <c r="J10" s="106"/>
      <c r="K10" s="106"/>
      <c r="L10" s="106"/>
      <c r="M10" s="106"/>
      <c r="N10" s="106"/>
      <c r="O10" s="106"/>
      <c r="P10" s="107"/>
      <c r="Q10" s="7"/>
      <c r="R10" s="150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2"/>
    </row>
    <row r="11" spans="1:35" ht="17.100000000000001" customHeight="1">
      <c r="A11" s="145"/>
      <c r="B11" s="146"/>
      <c r="C11" s="146"/>
      <c r="D11" s="146"/>
      <c r="E11" s="146"/>
      <c r="F11" s="146"/>
      <c r="G11" s="146"/>
      <c r="H11" s="146"/>
      <c r="I11" s="106"/>
      <c r="J11" s="106"/>
      <c r="K11" s="106"/>
      <c r="L11" s="106"/>
      <c r="M11" s="106"/>
      <c r="N11" s="106"/>
      <c r="O11" s="106"/>
      <c r="P11" s="107"/>
      <c r="Q11" s="7"/>
      <c r="R11" s="153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20"/>
    </row>
    <row r="12" spans="1:35" ht="17.100000000000001" customHeight="1">
      <c r="A12" s="154" t="s">
        <v>1</v>
      </c>
      <c r="B12" s="155"/>
      <c r="C12" s="155"/>
      <c r="D12" s="155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20"/>
      <c r="Q12" s="7" t="s">
        <v>8</v>
      </c>
      <c r="R12" s="154" t="s">
        <v>1</v>
      </c>
      <c r="S12" s="155"/>
      <c r="T12" s="155"/>
      <c r="U12" s="155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</row>
    <row r="13" spans="1:35" ht="17.100000000000001" customHeight="1">
      <c r="A13" s="108" t="s">
        <v>2</v>
      </c>
      <c r="B13" s="109"/>
      <c r="C13" s="109"/>
      <c r="D13" s="109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/>
      <c r="Q13" s="7"/>
      <c r="R13" s="108" t="s">
        <v>2</v>
      </c>
      <c r="S13" s="109"/>
      <c r="T13" s="109"/>
      <c r="U13" s="10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</row>
    <row r="14" spans="1:35" ht="17.100000000000001" customHeight="1" thickBot="1">
      <c r="A14" s="122" t="s">
        <v>3</v>
      </c>
      <c r="B14" s="123"/>
      <c r="C14" s="123"/>
      <c r="D14" s="123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68"/>
      <c r="R14" s="122" t="s">
        <v>3</v>
      </c>
      <c r="S14" s="123"/>
      <c r="T14" s="123"/>
      <c r="U14" s="123"/>
      <c r="V14" s="124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</row>
    <row r="15" spans="1:35" s="3" customFormat="1" ht="19.350000000000001" customHeight="1" thickTop="1">
      <c r="A15" s="166" t="s">
        <v>4</v>
      </c>
      <c r="B15" s="167"/>
      <c r="C15" s="167"/>
      <c r="D15" s="167"/>
      <c r="E15" s="167"/>
      <c r="F15" s="167"/>
      <c r="G15" s="127"/>
      <c r="H15" s="128"/>
      <c r="I15" s="128"/>
      <c r="J15" s="128"/>
      <c r="K15" s="128"/>
      <c r="L15" s="128"/>
      <c r="M15" s="128"/>
      <c r="N15" s="128"/>
      <c r="O15" s="128"/>
      <c r="P15" s="128"/>
      <c r="Q15" s="11"/>
      <c r="R15" s="167" t="s">
        <v>9</v>
      </c>
      <c r="S15" s="168"/>
      <c r="T15" s="168"/>
      <c r="U15" s="168"/>
      <c r="V15" s="168"/>
      <c r="W15" s="168"/>
      <c r="X15" s="127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9"/>
    </row>
    <row r="16" spans="1:35" s="3" customFormat="1" ht="2.1" customHeight="1">
      <c r="A16" s="10"/>
      <c r="B16" s="4"/>
      <c r="C16" s="4"/>
      <c r="D16" s="4"/>
      <c r="E16" s="4"/>
      <c r="F16" s="4"/>
      <c r="G16" s="11"/>
      <c r="H16" s="4"/>
      <c r="I16" s="4"/>
      <c r="J16" s="4"/>
      <c r="K16" s="4"/>
      <c r="L16" s="4"/>
      <c r="M16" s="4"/>
      <c r="N16" s="4"/>
      <c r="O16" s="4"/>
      <c r="P16" s="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4"/>
      <c r="AC16" s="4"/>
      <c r="AD16" s="4"/>
      <c r="AE16" s="4"/>
      <c r="AF16" s="4"/>
      <c r="AG16" s="4"/>
      <c r="AH16" s="7"/>
      <c r="AI16" s="12"/>
    </row>
    <row r="17" spans="1:35" s="3" customFormat="1" ht="19.350000000000001" customHeight="1">
      <c r="A17" s="13"/>
      <c r="B17" s="86" t="s">
        <v>74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11"/>
      <c r="R17" s="88" t="s">
        <v>80</v>
      </c>
      <c r="S17" s="89"/>
      <c r="T17" s="89"/>
      <c r="U17" s="89"/>
      <c r="V17" s="89"/>
      <c r="W17" s="89"/>
      <c r="X17" s="138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4"/>
    </row>
    <row r="18" spans="1:35" s="3" customFormat="1" ht="2.1" customHeight="1">
      <c r="A18" s="10"/>
      <c r="B18" s="4"/>
      <c r="C18" s="4"/>
      <c r="D18" s="4"/>
      <c r="E18" s="4"/>
      <c r="F18" s="4"/>
      <c r="G18" s="11"/>
      <c r="H18" s="4"/>
      <c r="I18" s="4"/>
      <c r="J18" s="4"/>
      <c r="K18" s="4"/>
      <c r="L18" s="4"/>
      <c r="M18" s="4"/>
      <c r="N18" s="4"/>
      <c r="O18" s="4"/>
      <c r="P18" s="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  <c r="AC18" s="4"/>
      <c r="AD18" s="4"/>
      <c r="AE18" s="4"/>
      <c r="AF18" s="4"/>
      <c r="AG18" s="4"/>
      <c r="AH18" s="7"/>
      <c r="AI18" s="12"/>
    </row>
    <row r="19" spans="1:35" s="3" customFormat="1" ht="14.1" customHeight="1">
      <c r="A19" s="13"/>
      <c r="B19" s="37" t="s">
        <v>74</v>
      </c>
      <c r="C19" s="11"/>
      <c r="D19" s="4"/>
      <c r="E19" s="37" t="s">
        <v>75</v>
      </c>
      <c r="F19" s="4"/>
      <c r="G19" s="4"/>
      <c r="H19" s="4"/>
      <c r="I19" s="4"/>
      <c r="J19" s="133"/>
      <c r="K19" s="134"/>
      <c r="M19" s="4"/>
      <c r="N19" s="37"/>
      <c r="P19" s="11"/>
      <c r="Q19" s="11"/>
      <c r="R19" s="156" t="s">
        <v>76</v>
      </c>
      <c r="S19" s="89"/>
      <c r="T19" s="89"/>
      <c r="U19" s="89"/>
      <c r="V19" s="89"/>
      <c r="W19" s="89"/>
      <c r="X19" s="89"/>
      <c r="Y19" s="89"/>
      <c r="Z19" s="39"/>
      <c r="AB19" s="37" t="s">
        <v>77</v>
      </c>
      <c r="AD19" s="4"/>
      <c r="AE19" s="4"/>
      <c r="AF19" s="4"/>
      <c r="AG19" s="11"/>
      <c r="AH19" s="7"/>
      <c r="AI19" s="12"/>
    </row>
    <row r="20" spans="1:35" s="3" customFormat="1" ht="2.1" customHeight="1">
      <c r="A20" s="16"/>
      <c r="B20" s="11"/>
      <c r="C20" s="11"/>
      <c r="D20" s="4"/>
      <c r="E20" s="4"/>
      <c r="F20" s="4"/>
      <c r="G20" s="4"/>
      <c r="H20" s="4"/>
      <c r="I20" s="4"/>
      <c r="J20" s="17"/>
      <c r="K20" s="4"/>
      <c r="L20" s="4"/>
      <c r="M20" s="4"/>
      <c r="N20" s="11"/>
      <c r="O20" s="11"/>
      <c r="P20" s="11"/>
      <c r="Q20" s="11"/>
      <c r="R20" s="17"/>
      <c r="S20" s="4"/>
      <c r="T20" s="4"/>
      <c r="U20" s="4"/>
      <c r="V20" s="11"/>
      <c r="W20" s="11"/>
      <c r="X20" s="11"/>
      <c r="Y20" s="11"/>
      <c r="Z20" s="17"/>
      <c r="AB20" s="4"/>
      <c r="AD20" s="4"/>
      <c r="AE20" s="11"/>
      <c r="AF20" s="11"/>
      <c r="AG20" s="11"/>
      <c r="AH20" s="7"/>
      <c r="AI20" s="12"/>
    </row>
    <row r="21" spans="1:35" s="3" customFormat="1" ht="14.1" customHeight="1">
      <c r="A21" s="18"/>
      <c r="B21" s="37" t="str">
        <f>IF(J19="nein","","LKW spezifikationen")</f>
        <v>LKW spezifikationen</v>
      </c>
      <c r="I21" s="4"/>
      <c r="J21" s="133"/>
      <c r="K21" s="137"/>
      <c r="L21" s="4" t="s">
        <v>10</v>
      </c>
      <c r="M21" s="4"/>
      <c r="N21" s="4"/>
      <c r="O21" s="4"/>
      <c r="P21" s="11"/>
      <c r="Q21" s="11"/>
      <c r="R21" s="159"/>
      <c r="S21" s="160"/>
      <c r="T21" s="160"/>
      <c r="U21" s="160"/>
      <c r="V21" s="160"/>
      <c r="W21" s="161"/>
      <c r="X21" s="67"/>
      <c r="Y21" s="67"/>
      <c r="Z21" s="39"/>
      <c r="AB21" s="37" t="s">
        <v>78</v>
      </c>
      <c r="AD21" s="4"/>
      <c r="AE21" s="4"/>
      <c r="AF21" s="4"/>
      <c r="AG21" s="11"/>
      <c r="AH21" s="7"/>
      <c r="AI21" s="12"/>
    </row>
    <row r="22" spans="1:35" s="3" customFormat="1" ht="2.1" customHeight="1">
      <c r="A22" s="18"/>
      <c r="B22" s="36"/>
      <c r="C22" s="11"/>
      <c r="D22" s="4"/>
      <c r="E22" s="4"/>
      <c r="F22" s="4"/>
      <c r="G22" s="4"/>
      <c r="H22" s="4"/>
      <c r="I22" s="4"/>
      <c r="J22" s="17"/>
      <c r="K22" s="4"/>
      <c r="L22" s="4"/>
      <c r="M22" s="4"/>
      <c r="N22" s="4"/>
      <c r="O22" s="4"/>
      <c r="P22" s="11"/>
      <c r="Q22" s="11"/>
      <c r="R22" s="17"/>
      <c r="S22" s="4"/>
      <c r="T22" s="4"/>
      <c r="U22" s="4"/>
      <c r="V22" s="4"/>
      <c r="W22" s="4"/>
      <c r="X22" s="11"/>
      <c r="Y22" s="11"/>
      <c r="Z22" s="17"/>
      <c r="AB22" s="4"/>
      <c r="AD22" s="4"/>
      <c r="AE22" s="4"/>
      <c r="AF22" s="4"/>
      <c r="AG22" s="11"/>
      <c r="AH22" s="7"/>
      <c r="AI22" s="12"/>
    </row>
    <row r="23" spans="1:35" s="3" customFormat="1" ht="14.1" customHeight="1">
      <c r="A23" s="18"/>
      <c r="B23" s="130"/>
      <c r="C23" s="131"/>
      <c r="D23" s="131"/>
      <c r="E23" s="131"/>
      <c r="F23" s="131"/>
      <c r="G23" s="131"/>
      <c r="H23" s="132"/>
      <c r="I23" s="4"/>
      <c r="J23" s="53" t="str">
        <f>IF(J19="nein","abgeholt: in welchem Werk","")</f>
        <v/>
      </c>
      <c r="K23" s="4"/>
      <c r="M23" s="4"/>
      <c r="N23" s="4"/>
      <c r="O23" s="58"/>
      <c r="P23" s="4"/>
      <c r="Q23" s="4"/>
      <c r="R23" s="3" t="str">
        <f>IF(R21="Fixzeit Toleranz 30 Min.","Zeit","")</f>
        <v/>
      </c>
      <c r="S23" s="4"/>
      <c r="U23" s="162"/>
      <c r="V23" s="163"/>
      <c r="W23" s="164"/>
      <c r="X23" s="37"/>
      <c r="Z23" s="39"/>
      <c r="AB23" s="37" t="s">
        <v>11</v>
      </c>
      <c r="AD23" s="4"/>
      <c r="AE23" s="4"/>
      <c r="AF23" s="4"/>
      <c r="AG23" s="4"/>
      <c r="AH23" s="7"/>
      <c r="AI23" s="12"/>
    </row>
    <row r="24" spans="1:35" s="3" customFormat="1" ht="2.1" customHeight="1">
      <c r="A24" s="18"/>
      <c r="B24" s="36"/>
      <c r="C24" s="11"/>
      <c r="D24" s="4"/>
      <c r="E24" s="4"/>
      <c r="F24" s="4"/>
      <c r="G24" s="4"/>
      <c r="H24" s="4"/>
      <c r="I24" s="4"/>
      <c r="J24" s="17"/>
      <c r="K24" s="4"/>
      <c r="L24" s="4"/>
      <c r="M24" s="4"/>
      <c r="N24" s="4"/>
      <c r="O24" s="4"/>
      <c r="P24" s="4"/>
      <c r="Q24" s="4"/>
      <c r="R24" s="17"/>
      <c r="S24" s="4"/>
      <c r="T24" s="4"/>
      <c r="U24" s="4"/>
      <c r="V24" s="4"/>
      <c r="W24" s="4"/>
      <c r="X24" s="4"/>
      <c r="Y24" s="4"/>
      <c r="Z24" s="17"/>
      <c r="AB24" s="4"/>
      <c r="AD24" s="4"/>
      <c r="AE24" s="4"/>
      <c r="AF24" s="4"/>
      <c r="AG24" s="4"/>
      <c r="AH24" s="7"/>
      <c r="AI24" s="12"/>
    </row>
    <row r="25" spans="1:35" s="3" customFormat="1" ht="14.1" customHeight="1">
      <c r="A25" s="18"/>
      <c r="B25" s="130"/>
      <c r="C25" s="131"/>
      <c r="D25" s="131"/>
      <c r="E25" s="131"/>
      <c r="F25" s="131"/>
      <c r="G25" s="131"/>
      <c r="H25" s="132"/>
      <c r="I25" s="4"/>
      <c r="J25" s="135"/>
      <c r="K25" s="136"/>
      <c r="L25" s="136"/>
      <c r="M25" s="136"/>
      <c r="N25" s="136"/>
      <c r="O25" s="136"/>
      <c r="P25" s="137"/>
      <c r="Q25" s="4"/>
      <c r="R25" s="59"/>
      <c r="S25" s="4"/>
      <c r="T25" s="4"/>
      <c r="U25" s="60"/>
      <c r="V25" s="60"/>
      <c r="W25" s="60"/>
      <c r="X25" s="60"/>
      <c r="Y25" s="60"/>
      <c r="Z25" s="39"/>
      <c r="AB25" s="37" t="s">
        <v>23</v>
      </c>
      <c r="AD25" s="57"/>
      <c r="AE25" s="57"/>
      <c r="AF25" s="57"/>
      <c r="AG25" s="57"/>
      <c r="AH25" s="57"/>
      <c r="AI25" s="12"/>
    </row>
    <row r="26" spans="1:35" s="3" customFormat="1" ht="1.7" customHeight="1" thickBot="1">
      <c r="A26" s="19"/>
      <c r="B26" s="61"/>
      <c r="C26" s="11"/>
      <c r="D26" s="11"/>
      <c r="E26" s="11"/>
      <c r="F26" s="11"/>
      <c r="G26" s="11"/>
      <c r="H26" s="11"/>
      <c r="I26" s="61"/>
      <c r="J26" s="61"/>
      <c r="K26" s="11"/>
      <c r="L26" s="5"/>
      <c r="M26" s="5"/>
      <c r="N26" s="5"/>
      <c r="O26" s="5"/>
      <c r="P26" s="5"/>
      <c r="Q26" s="5"/>
      <c r="R26" s="61"/>
      <c r="S26" s="61"/>
      <c r="T26" s="11"/>
      <c r="U26" s="5"/>
      <c r="V26" s="5"/>
      <c r="W26" s="5"/>
      <c r="X26" s="5"/>
      <c r="Y26" s="5"/>
      <c r="Z26" s="5"/>
      <c r="AA26" s="5"/>
      <c r="AB26" s="61"/>
      <c r="AC26" s="61"/>
      <c r="AD26" s="11"/>
      <c r="AE26" s="5"/>
      <c r="AF26" s="5"/>
      <c r="AG26" s="5"/>
      <c r="AH26" s="5"/>
      <c r="AI26" s="20"/>
    </row>
    <row r="27" spans="1:35" s="3" customFormat="1" ht="16.350000000000001" customHeight="1" thickTop="1">
      <c r="A27" s="62" t="s">
        <v>12</v>
      </c>
      <c r="B27" s="63"/>
      <c r="C27" s="63"/>
      <c r="D27" s="63"/>
      <c r="E27" s="63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64"/>
      <c r="R27" s="65" t="s">
        <v>13</v>
      </c>
      <c r="S27" s="64"/>
      <c r="T27" s="64"/>
      <c r="U27" s="64"/>
      <c r="V27" s="64"/>
      <c r="W27" s="64"/>
      <c r="X27" s="64"/>
      <c r="Y27" s="64"/>
      <c r="Z27" s="97"/>
      <c r="AA27" s="98"/>
      <c r="AB27" s="98"/>
      <c r="AC27" s="98"/>
      <c r="AD27" s="98"/>
      <c r="AE27" s="98"/>
      <c r="AF27" s="98"/>
      <c r="AG27" s="98"/>
      <c r="AH27" s="98"/>
      <c r="AI27" s="66"/>
    </row>
    <row r="28" spans="1:35" s="3" customFormat="1" ht="16.350000000000001" customHeight="1">
      <c r="A28" s="15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5"/>
      <c r="N28" s="5"/>
      <c r="O28" s="5"/>
      <c r="P28" s="11"/>
      <c r="Q28" s="11"/>
      <c r="R28" s="11"/>
      <c r="S28" s="11"/>
      <c r="T28" s="11"/>
      <c r="U28" s="11"/>
      <c r="V28" s="11"/>
      <c r="W28" s="26"/>
      <c r="X28" s="26" t="s">
        <v>19</v>
      </c>
      <c r="Z28" s="26"/>
      <c r="AA28" s="26"/>
      <c r="AB28" s="26"/>
      <c r="AC28" s="26"/>
      <c r="AD28" s="44" t="s">
        <v>15</v>
      </c>
      <c r="AE28" s="94"/>
      <c r="AF28" s="95"/>
      <c r="AG28" s="95"/>
      <c r="AH28" s="95"/>
      <c r="AI28" s="96"/>
    </row>
    <row r="29" spans="1:35" s="3" customFormat="1" ht="16.350000000000001" customHeight="1">
      <c r="A29" s="158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5"/>
      <c r="N29" s="5"/>
      <c r="O29" s="5"/>
      <c r="P29" s="11"/>
      <c r="Q29" s="11"/>
      <c r="R29" s="11"/>
      <c r="S29" s="11"/>
      <c r="T29" s="11"/>
      <c r="U29" s="11"/>
      <c r="V29" s="11"/>
      <c r="W29" s="15"/>
      <c r="Y29" s="26" t="s">
        <v>16</v>
      </c>
      <c r="Z29" s="11"/>
      <c r="AA29" s="11"/>
      <c r="AB29" s="11"/>
      <c r="AC29" s="11"/>
      <c r="AD29" s="35"/>
      <c r="AE29" s="94"/>
      <c r="AF29" s="95"/>
      <c r="AG29" s="95"/>
      <c r="AH29" s="95"/>
      <c r="AI29" s="96"/>
    </row>
    <row r="30" spans="1:35" s="3" customFormat="1" ht="16.350000000000001" customHeight="1">
      <c r="A30" s="158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5"/>
      <c r="N30" s="5"/>
      <c r="O30" s="5"/>
      <c r="P30" s="15"/>
      <c r="Q30" s="5"/>
      <c r="R30" s="5"/>
      <c r="S30" s="5"/>
      <c r="T30" s="5"/>
      <c r="U30" s="5"/>
      <c r="V30" s="5"/>
      <c r="W30" s="15"/>
      <c r="Y30" s="26" t="s">
        <v>81</v>
      </c>
      <c r="Z30" s="15"/>
      <c r="AA30" s="40"/>
      <c r="AB30" s="40"/>
      <c r="AC30" s="40"/>
      <c r="AD30" s="35"/>
      <c r="AE30" s="103" t="str">
        <f>IF(AE28="","",SUM((AE28-AE29))*1000)</f>
        <v/>
      </c>
      <c r="AF30" s="104"/>
      <c r="AG30" s="104"/>
      <c r="AH30" s="104"/>
      <c r="AI30" s="105"/>
    </row>
    <row r="31" spans="1:35" s="3" customFormat="1" ht="16.350000000000001" customHeight="1">
      <c r="A31" s="158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5"/>
      <c r="N31" s="5"/>
      <c r="O31" s="5"/>
      <c r="P31" s="5"/>
      <c r="Q31" s="5"/>
      <c r="R31" s="5"/>
      <c r="S31" s="5"/>
      <c r="T31" s="5"/>
      <c r="U31" s="5"/>
      <c r="V31" s="5"/>
      <c r="W31" s="15"/>
      <c r="Y31" s="24" t="s">
        <v>59</v>
      </c>
      <c r="Z31" s="24"/>
      <c r="AA31" s="24"/>
      <c r="AB31" s="24"/>
      <c r="AC31" s="24"/>
      <c r="AD31" s="50" t="s">
        <v>14</v>
      </c>
      <c r="AE31" s="99"/>
      <c r="AF31" s="100"/>
      <c r="AG31" s="100"/>
      <c r="AH31" s="100"/>
      <c r="AI31" s="45"/>
    </row>
    <row r="32" spans="1:35" s="3" customFormat="1" ht="16.350000000000001" customHeight="1">
      <c r="A32" s="158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5"/>
      <c r="N32" s="5"/>
      <c r="O32" s="5"/>
      <c r="P32" s="5"/>
      <c r="Q32" s="5"/>
      <c r="R32" s="5"/>
      <c r="S32" s="5"/>
      <c r="T32" s="5"/>
      <c r="U32" s="5"/>
      <c r="V32" s="5"/>
      <c r="W32" s="15"/>
      <c r="Y32" s="35" t="s">
        <v>73</v>
      </c>
      <c r="AB32" s="26"/>
      <c r="AC32" s="26"/>
      <c r="AD32" s="35"/>
      <c r="AE32" s="99"/>
      <c r="AF32" s="144"/>
      <c r="AG32" s="144"/>
      <c r="AH32" s="144"/>
      <c r="AI32" s="46"/>
    </row>
    <row r="33" spans="1:35" s="3" customFormat="1" ht="16.350000000000001" customHeight="1">
      <c r="A33" s="158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5"/>
      <c r="N33" s="5"/>
      <c r="O33" s="5"/>
      <c r="P33" s="5"/>
      <c r="Q33" s="5"/>
      <c r="R33" s="5"/>
      <c r="S33" s="5"/>
      <c r="T33" s="5"/>
      <c r="U33" s="5"/>
      <c r="V33" s="5"/>
      <c r="W33" s="15"/>
      <c r="Y33" s="26" t="s">
        <v>61</v>
      </c>
      <c r="AC33" s="25"/>
      <c r="AD33" s="35" t="s">
        <v>18</v>
      </c>
      <c r="AE33" s="99"/>
      <c r="AF33" s="100"/>
      <c r="AG33" s="100"/>
      <c r="AH33" s="100"/>
      <c r="AI33" s="46"/>
    </row>
    <row r="34" spans="1:35" s="3" customFormat="1" ht="16.350000000000001" customHeight="1">
      <c r="A34" s="158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5"/>
      <c r="N34" s="5"/>
      <c r="O34" s="5"/>
      <c r="P34" s="5"/>
      <c r="Q34" s="5"/>
      <c r="R34" s="5"/>
      <c r="S34" s="5"/>
      <c r="T34" s="5"/>
      <c r="U34" s="5"/>
      <c r="V34" s="5"/>
      <c r="W34" s="15"/>
      <c r="X34" s="26"/>
      <c r="Y34" s="26" t="str">
        <f>IF(AE30="","",IF(AE30&gt;4999,"Ruhepodest?",""))</f>
        <v/>
      </c>
      <c r="AB34" s="26"/>
      <c r="AD34" s="35" t="s">
        <v>18</v>
      </c>
      <c r="AE34" s="99"/>
      <c r="AF34" s="100"/>
      <c r="AG34" s="100"/>
      <c r="AH34" s="100"/>
      <c r="AI34" s="46"/>
    </row>
    <row r="35" spans="1:35" s="3" customFormat="1" ht="16.350000000000001" customHeight="1">
      <c r="A35" s="15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5"/>
      <c r="N35" s="5"/>
      <c r="O35" s="5"/>
      <c r="P35" s="5"/>
      <c r="Q35" s="5"/>
      <c r="R35" s="5"/>
      <c r="S35" s="5"/>
      <c r="T35" s="5"/>
      <c r="U35" s="5"/>
      <c r="V35" s="5"/>
      <c r="W35" s="15"/>
      <c r="Y35" s="26" t="s">
        <v>61</v>
      </c>
      <c r="AC35" s="25"/>
      <c r="AD35" s="35" t="s">
        <v>18</v>
      </c>
      <c r="AE35" s="99"/>
      <c r="AF35" s="100"/>
      <c r="AG35" s="100"/>
      <c r="AH35" s="100"/>
      <c r="AI35" s="46"/>
    </row>
    <row r="36" spans="1:35" s="3" customFormat="1" ht="16.350000000000001" customHeight="1">
      <c r="A36" s="15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5"/>
      <c r="N36" s="5"/>
      <c r="O36" s="5"/>
      <c r="P36" s="5"/>
      <c r="Q36" s="5"/>
      <c r="R36" s="5"/>
      <c r="S36" s="5"/>
      <c r="T36" s="5"/>
      <c r="U36" s="5"/>
      <c r="V36" s="5"/>
      <c r="W36" s="15"/>
      <c r="Y36" s="26" t="s">
        <v>70</v>
      </c>
      <c r="AC36" s="25"/>
      <c r="AD36" s="35" t="s">
        <v>68</v>
      </c>
      <c r="AE36" s="99"/>
      <c r="AF36" s="100"/>
      <c r="AG36" s="100"/>
      <c r="AH36" s="100"/>
      <c r="AI36" s="46"/>
    </row>
    <row r="37" spans="1:35" s="3" customFormat="1" ht="16.350000000000001" customHeight="1">
      <c r="A37" s="158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5"/>
      <c r="N37" s="5"/>
      <c r="O37" s="5"/>
      <c r="P37" s="5"/>
      <c r="Q37" s="5"/>
      <c r="R37" s="5"/>
      <c r="S37" s="5"/>
      <c r="T37" s="5"/>
      <c r="U37" s="5"/>
      <c r="V37" s="5"/>
      <c r="W37" s="15"/>
      <c r="Y37" s="26" t="s">
        <v>62</v>
      </c>
      <c r="AD37" s="35" t="s">
        <v>68</v>
      </c>
      <c r="AE37" s="99"/>
      <c r="AF37" s="100"/>
      <c r="AG37" s="100"/>
      <c r="AH37" s="100"/>
      <c r="AI37" s="46"/>
    </row>
    <row r="38" spans="1:35" s="3" customFormat="1" ht="16.350000000000001" customHeight="1">
      <c r="A38" s="158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5"/>
      <c r="N38" s="5"/>
      <c r="O38" s="5"/>
      <c r="P38" s="5"/>
      <c r="Q38" s="5"/>
      <c r="R38" s="5"/>
      <c r="S38" s="5"/>
      <c r="T38" s="5"/>
      <c r="U38" s="5"/>
      <c r="V38" s="5"/>
      <c r="W38" s="15"/>
      <c r="Y38" s="26" t="s">
        <v>67</v>
      </c>
      <c r="AD38" s="35" t="s">
        <v>68</v>
      </c>
      <c r="AE38" s="99"/>
      <c r="AF38" s="100"/>
      <c r="AG38" s="100"/>
      <c r="AH38" s="100"/>
      <c r="AI38" s="45"/>
    </row>
    <row r="39" spans="1:35" s="3" customFormat="1" ht="16.350000000000001" customHeight="1">
      <c r="A39" s="158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5"/>
      <c r="N39" s="5"/>
      <c r="O39" s="5"/>
      <c r="P39" s="5"/>
      <c r="Q39" s="5"/>
      <c r="R39" s="5"/>
      <c r="S39" s="5"/>
      <c r="T39" s="5"/>
      <c r="U39" s="5"/>
      <c r="V39" s="5"/>
      <c r="W39" s="15"/>
      <c r="Y39" s="26" t="s">
        <v>79</v>
      </c>
      <c r="AD39" s="35"/>
      <c r="AE39" s="165"/>
      <c r="AF39" s="77"/>
      <c r="AG39" s="77"/>
      <c r="AH39" s="77"/>
      <c r="AI39" s="45"/>
    </row>
    <row r="40" spans="1:35" s="3" customFormat="1" ht="16.350000000000001" customHeight="1">
      <c r="A40" s="158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5"/>
      <c r="N40" s="5"/>
      <c r="O40" s="5"/>
      <c r="P40" s="5"/>
      <c r="Q40" s="5"/>
      <c r="R40" s="5"/>
      <c r="S40" s="5"/>
      <c r="T40" s="5"/>
      <c r="U40" s="5"/>
      <c r="V40" s="5"/>
      <c r="W40" s="15"/>
      <c r="Y40" s="26" t="s">
        <v>60</v>
      </c>
      <c r="Z40" s="40"/>
      <c r="AA40" s="40"/>
      <c r="AB40" s="40"/>
      <c r="AC40" s="40"/>
      <c r="AD40" s="35" t="s">
        <v>64</v>
      </c>
      <c r="AE40" s="101" t="str">
        <f>IF(SUM($AE$31:$AH$38)=0,"",(SUM(AE$31-AE32+AE33+AE34+AE35+AE36+AE37+AE38+AE39)))</f>
        <v/>
      </c>
      <c r="AF40" s="77"/>
      <c r="AG40" s="77"/>
      <c r="AH40" s="77"/>
      <c r="AI40" s="47"/>
    </row>
    <row r="41" spans="1:35" s="3" customFormat="1" ht="16.350000000000001" customHeight="1">
      <c r="A41" s="158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5"/>
      <c r="N41" s="5"/>
      <c r="O41" s="5"/>
      <c r="P41" s="5"/>
      <c r="Q41" s="5"/>
      <c r="R41" s="5"/>
      <c r="S41" s="5"/>
      <c r="T41" s="5"/>
      <c r="U41" s="5"/>
      <c r="V41" s="5"/>
      <c r="W41" s="15"/>
      <c r="X41" s="40"/>
      <c r="Y41" s="26" t="s">
        <v>65</v>
      </c>
      <c r="Z41" s="40"/>
      <c r="AA41" s="40"/>
      <c r="AB41" s="40"/>
      <c r="AC41" s="40"/>
      <c r="AD41" s="35" t="s">
        <v>66</v>
      </c>
      <c r="AE41" s="102" t="str">
        <f>IF($AE$40="","",SUM($AE$30-$AE$40))</f>
        <v/>
      </c>
      <c r="AF41" s="77"/>
      <c r="AG41" s="77"/>
      <c r="AH41" s="77"/>
      <c r="AI41" s="48"/>
    </row>
    <row r="42" spans="1:35" s="3" customFormat="1" ht="16.350000000000001" customHeight="1">
      <c r="A42" s="158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5"/>
      <c r="N42" s="5"/>
      <c r="O42" s="5"/>
      <c r="P42" s="5"/>
      <c r="Q42" s="5"/>
      <c r="R42" s="5"/>
      <c r="S42" s="5"/>
      <c r="T42" s="5"/>
      <c r="U42" s="5"/>
      <c r="V42" s="5"/>
      <c r="W42" s="15"/>
      <c r="Y42" s="26" t="s">
        <v>60</v>
      </c>
      <c r="Z42" s="5"/>
      <c r="AA42" s="5"/>
      <c r="AB42" s="5"/>
      <c r="AC42" s="5"/>
      <c r="AD42" s="35" t="s">
        <v>17</v>
      </c>
      <c r="AE42" s="139" t="str">
        <f>IF(AE40="","",AE40+AE41+C45)</f>
        <v/>
      </c>
      <c r="AF42" s="140"/>
      <c r="AG42" s="140"/>
      <c r="AH42" s="140"/>
      <c r="AI42" s="75"/>
    </row>
    <row r="43" spans="1:35" s="3" customFormat="1" ht="16.350000000000001" customHeight="1">
      <c r="A43" s="158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5"/>
      <c r="N43" s="5"/>
      <c r="O43" s="5"/>
      <c r="P43" s="5"/>
      <c r="Q43" s="5"/>
      <c r="R43" s="5"/>
      <c r="S43" s="5"/>
      <c r="T43" s="5"/>
      <c r="U43" s="5"/>
      <c r="V43" s="5"/>
      <c r="Y43" s="17"/>
      <c r="Z43" s="5"/>
      <c r="AA43" s="5"/>
      <c r="AB43" s="5"/>
      <c r="AC43" s="5"/>
      <c r="AE43" s="37" t="str">
        <f>IF(AND($Z$27=800,AE36=600),"Konus Typ BS","")</f>
        <v/>
      </c>
      <c r="AF43" s="40"/>
      <c r="AG43" s="5"/>
      <c r="AH43" s="5"/>
      <c r="AI43" s="20"/>
    </row>
    <row r="44" spans="1:35" s="3" customFormat="1" ht="16.350000000000001" customHeight="1">
      <c r="A44" s="15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5"/>
      <c r="N44" s="5"/>
      <c r="O44" s="5"/>
      <c r="P44" s="5"/>
      <c r="Q44" s="52"/>
      <c r="R44" s="4"/>
      <c r="S44" s="5" t="s">
        <v>20</v>
      </c>
      <c r="T44" s="4"/>
      <c r="U44" s="4"/>
      <c r="V44" s="4"/>
      <c r="W44" s="37"/>
      <c r="Y44" s="14"/>
      <c r="Z44" s="4" t="s">
        <v>21</v>
      </c>
      <c r="AA44" s="4"/>
      <c r="AB44" s="4"/>
      <c r="AC44" s="4"/>
      <c r="AD44" s="51"/>
      <c r="AE44" s="14"/>
      <c r="AF44" s="92" t="str">
        <f>IF($AE$43="Konus Typ BS","ohne Muffe","")</f>
        <v/>
      </c>
      <c r="AG44" s="87"/>
      <c r="AH44" s="87"/>
      <c r="AI44" s="93"/>
    </row>
    <row r="45" spans="1:35" s="3" customFormat="1" ht="16.350000000000001" customHeight="1">
      <c r="A45" s="23"/>
      <c r="B45" s="55" t="s">
        <v>71</v>
      </c>
      <c r="C45" s="90" t="str">
        <f>IF(AE31="","",H45+AE32)</f>
        <v/>
      </c>
      <c r="D45" s="91"/>
      <c r="E45" s="56" t="s">
        <v>72</v>
      </c>
      <c r="F45" s="5"/>
      <c r="G45" s="5"/>
      <c r="H45" s="110" t="str">
        <f>IF(OR(AE31=350,AE31=475,AE31=600,AE31=725),150,IF(OR(AE31=550,AE31=675,AE31=800,AE31=925,AE31=1050,AE31=1175),200,IF(OR(AE31=1030,AE31=1155,AE31=1280,AE31=1405,AE31=1530),220,IF(OR(AE31=825,AE31=950,AE31=1075,AE31=1200,AE31=1325,AE31=1450,AE31=1575,AE31=1700,AE31=1825),300,""))))</f>
        <v/>
      </c>
      <c r="I45" s="111"/>
      <c r="J45" s="5"/>
      <c r="K45" s="5"/>
      <c r="L45" s="5"/>
      <c r="M45" s="5"/>
      <c r="N45" s="5"/>
      <c r="O45" s="5"/>
      <c r="P45" s="5"/>
      <c r="Q45" s="54"/>
      <c r="R45" s="4"/>
      <c r="S45" s="53" t="s">
        <v>58</v>
      </c>
      <c r="T45" s="4"/>
      <c r="U45" s="4"/>
      <c r="V45" s="37"/>
      <c r="W45" s="37"/>
      <c r="Y45" s="14"/>
      <c r="Z45" s="4" t="s">
        <v>22</v>
      </c>
      <c r="AA45" s="4"/>
      <c r="AB45" s="4"/>
      <c r="AC45" s="4"/>
      <c r="AD45" s="4"/>
      <c r="AE45" s="14"/>
      <c r="AF45" s="92" t="str">
        <f>IF($AE$43="Konus Typ BS","mit Muffe","")</f>
        <v/>
      </c>
      <c r="AG45" s="87"/>
      <c r="AH45" s="87"/>
      <c r="AI45" s="93"/>
    </row>
    <row r="46" spans="1:35" s="3" customFormat="1" ht="3.6" customHeight="1">
      <c r="A46" s="27"/>
      <c r="B46" s="28"/>
      <c r="C46" s="28"/>
      <c r="D46" s="28"/>
      <c r="E46" s="28"/>
      <c r="F46" s="28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9"/>
    </row>
    <row r="47" spans="1:35" s="3" customFormat="1" ht="15.6" customHeight="1">
      <c r="A47" s="23" t="s">
        <v>24</v>
      </c>
      <c r="B47" s="5"/>
      <c r="C47" s="5"/>
      <c r="D47" s="5"/>
      <c r="E47" s="5"/>
      <c r="F47" s="5"/>
      <c r="G47" s="80" t="s">
        <v>30</v>
      </c>
      <c r="H47" s="80"/>
      <c r="I47" s="80"/>
      <c r="J47" s="80"/>
      <c r="K47" s="21"/>
      <c r="L47" s="80" t="s">
        <v>31</v>
      </c>
      <c r="M47" s="80"/>
      <c r="N47" s="80"/>
      <c r="O47" s="80"/>
      <c r="P47" s="21"/>
      <c r="Q47" s="80" t="s">
        <v>32</v>
      </c>
      <c r="R47" s="80"/>
      <c r="S47" s="80"/>
      <c r="T47" s="80"/>
      <c r="U47" s="21"/>
      <c r="V47" s="80" t="s">
        <v>33</v>
      </c>
      <c r="W47" s="80"/>
      <c r="X47" s="80"/>
      <c r="Y47" s="80"/>
      <c r="Z47" s="21"/>
      <c r="AA47" s="80" t="s">
        <v>34</v>
      </c>
      <c r="AB47" s="80"/>
      <c r="AC47" s="80"/>
      <c r="AD47" s="80"/>
      <c r="AE47" s="21"/>
      <c r="AF47" s="80" t="s">
        <v>35</v>
      </c>
      <c r="AG47" s="80"/>
      <c r="AH47" s="80"/>
      <c r="AI47" s="81"/>
    </row>
    <row r="48" spans="1:35" s="3" customFormat="1" ht="15.6" customHeight="1">
      <c r="A48" s="23" t="s">
        <v>25</v>
      </c>
      <c r="B48" s="5"/>
      <c r="C48" s="5"/>
      <c r="D48" s="5"/>
      <c r="E48" s="5"/>
      <c r="F48" s="5"/>
      <c r="G48" s="113"/>
      <c r="H48" s="113"/>
      <c r="I48" s="113"/>
      <c r="J48" s="113"/>
      <c r="K48" s="36"/>
      <c r="L48" s="113"/>
      <c r="M48" s="113"/>
      <c r="N48" s="113"/>
      <c r="O48" s="113"/>
      <c r="P48" s="36"/>
      <c r="Q48" s="113"/>
      <c r="R48" s="113"/>
      <c r="S48" s="113"/>
      <c r="T48" s="113"/>
      <c r="U48" s="36"/>
      <c r="V48" s="113"/>
      <c r="W48" s="113"/>
      <c r="X48" s="113"/>
      <c r="Y48" s="113"/>
      <c r="Z48" s="36"/>
      <c r="AA48" s="113"/>
      <c r="AB48" s="113"/>
      <c r="AC48" s="113"/>
      <c r="AD48" s="113"/>
      <c r="AE48" s="36"/>
      <c r="AF48" s="113"/>
      <c r="AG48" s="113"/>
      <c r="AH48" s="113"/>
      <c r="AI48" s="114"/>
    </row>
    <row r="49" spans="1:35" s="3" customFormat="1" ht="15.6" customHeight="1">
      <c r="A49" s="23" t="s">
        <v>26</v>
      </c>
      <c r="B49" s="5"/>
      <c r="C49" s="5"/>
      <c r="D49" s="5"/>
      <c r="E49" s="5"/>
      <c r="F49" s="5"/>
      <c r="G49" s="113"/>
      <c r="H49" s="113"/>
      <c r="I49" s="113"/>
      <c r="J49" s="113"/>
      <c r="K49" s="36"/>
      <c r="L49" s="113"/>
      <c r="M49" s="113"/>
      <c r="N49" s="113"/>
      <c r="O49" s="113"/>
      <c r="P49" s="36"/>
      <c r="Q49" s="113"/>
      <c r="R49" s="113"/>
      <c r="S49" s="113"/>
      <c r="T49" s="113"/>
      <c r="U49" s="36"/>
      <c r="V49" s="113"/>
      <c r="W49" s="113"/>
      <c r="X49" s="113"/>
      <c r="Y49" s="113"/>
      <c r="Z49" s="36"/>
      <c r="AA49" s="113"/>
      <c r="AB49" s="113"/>
      <c r="AC49" s="113"/>
      <c r="AD49" s="113"/>
      <c r="AE49" s="36"/>
      <c r="AF49" s="113"/>
      <c r="AG49" s="113"/>
      <c r="AH49" s="113"/>
      <c r="AI49" s="114"/>
    </row>
    <row r="50" spans="1:35" s="3" customFormat="1" ht="15.6" customHeight="1">
      <c r="A50" s="23" t="s">
        <v>27</v>
      </c>
      <c r="B50" s="5"/>
      <c r="C50" s="5"/>
      <c r="D50" s="5"/>
      <c r="E50" s="5"/>
      <c r="F50" s="5"/>
      <c r="G50" s="115"/>
      <c r="H50" s="115"/>
      <c r="I50" s="115"/>
      <c r="J50" s="115"/>
      <c r="K50" s="36"/>
      <c r="L50" s="115"/>
      <c r="M50" s="115"/>
      <c r="N50" s="115"/>
      <c r="O50" s="115"/>
      <c r="P50" s="36"/>
      <c r="Q50" s="115"/>
      <c r="R50" s="115"/>
      <c r="S50" s="115"/>
      <c r="T50" s="115"/>
      <c r="U50" s="36"/>
      <c r="V50" s="115"/>
      <c r="W50" s="115"/>
      <c r="X50" s="115"/>
      <c r="Y50" s="115"/>
      <c r="Z50" s="36"/>
      <c r="AA50" s="115"/>
      <c r="AB50" s="115"/>
      <c r="AC50" s="115"/>
      <c r="AD50" s="115"/>
      <c r="AE50" s="36"/>
      <c r="AF50" s="115"/>
      <c r="AG50" s="115"/>
      <c r="AH50" s="115"/>
      <c r="AI50" s="116"/>
    </row>
    <row r="51" spans="1:35" s="3" customFormat="1" ht="15.6" customHeight="1">
      <c r="A51" s="23" t="s">
        <v>28</v>
      </c>
      <c r="B51" s="5"/>
      <c r="C51" s="5"/>
      <c r="D51" s="5"/>
      <c r="E51" s="5"/>
      <c r="F51" s="5"/>
      <c r="G51" s="112"/>
      <c r="H51" s="112"/>
      <c r="I51" s="112"/>
      <c r="J51" s="112"/>
      <c r="K51" s="38"/>
      <c r="L51" s="112"/>
      <c r="M51" s="112"/>
      <c r="N51" s="112"/>
      <c r="O51" s="112"/>
      <c r="P51" s="38"/>
      <c r="Q51" s="112"/>
      <c r="R51" s="112"/>
      <c r="S51" s="112"/>
      <c r="T51" s="112"/>
      <c r="U51" s="38"/>
      <c r="V51" s="112"/>
      <c r="W51" s="112"/>
      <c r="X51" s="112"/>
      <c r="Y51" s="112"/>
      <c r="Z51" s="38"/>
      <c r="AA51" s="112"/>
      <c r="AB51" s="112"/>
      <c r="AC51" s="112"/>
      <c r="AD51" s="112"/>
      <c r="AE51" s="38"/>
      <c r="AF51" s="112"/>
      <c r="AG51" s="112"/>
      <c r="AH51" s="112"/>
      <c r="AI51" s="117"/>
    </row>
    <row r="52" spans="1:35" s="3" customFormat="1" ht="15.6" customHeight="1">
      <c r="A52" s="23" t="s">
        <v>29</v>
      </c>
      <c r="B52" s="5"/>
      <c r="C52" s="5"/>
      <c r="D52" s="5"/>
      <c r="E52" s="5"/>
      <c r="F52" s="5"/>
      <c r="G52" s="121" t="str">
        <f>IF($AE$28="","",$AE$29)</f>
        <v/>
      </c>
      <c r="H52" s="121"/>
      <c r="I52" s="121"/>
      <c r="J52" s="121"/>
      <c r="K52" s="38"/>
      <c r="L52" s="112"/>
      <c r="M52" s="112"/>
      <c r="N52" s="112"/>
      <c r="O52" s="112"/>
      <c r="P52" s="38"/>
      <c r="Q52" s="112"/>
      <c r="R52" s="112"/>
      <c r="S52" s="112"/>
      <c r="T52" s="112"/>
      <c r="U52" s="38"/>
      <c r="V52" s="112"/>
      <c r="W52" s="112"/>
      <c r="X52" s="112"/>
      <c r="Y52" s="112"/>
      <c r="Z52" s="38"/>
      <c r="AA52" s="112"/>
      <c r="AB52" s="112"/>
      <c r="AC52" s="112"/>
      <c r="AD52" s="112"/>
      <c r="AE52" s="38"/>
      <c r="AF52" s="112"/>
      <c r="AG52" s="112"/>
      <c r="AH52" s="112"/>
      <c r="AI52" s="117"/>
    </row>
    <row r="53" spans="1:35" s="3" customFormat="1" ht="15.6" customHeight="1">
      <c r="A53" s="49" t="s">
        <v>63</v>
      </c>
      <c r="B53" s="5"/>
      <c r="C53" s="5"/>
      <c r="D53" s="5"/>
      <c r="E53" s="5"/>
      <c r="F53" s="5"/>
      <c r="G53" s="36"/>
      <c r="H53" s="36"/>
      <c r="I53" s="36"/>
      <c r="J53" s="36"/>
      <c r="K53" s="36"/>
      <c r="L53" s="112"/>
      <c r="M53" s="112"/>
      <c r="N53" s="112"/>
      <c r="O53" s="112"/>
      <c r="P53" s="38"/>
      <c r="Q53" s="112"/>
      <c r="R53" s="112"/>
      <c r="S53" s="112"/>
      <c r="T53" s="112"/>
      <c r="U53" s="38"/>
      <c r="V53" s="112"/>
      <c r="W53" s="112"/>
      <c r="X53" s="112"/>
      <c r="Y53" s="112"/>
      <c r="Z53" s="38"/>
      <c r="AA53" s="112"/>
      <c r="AB53" s="112"/>
      <c r="AC53" s="112"/>
      <c r="AD53" s="112"/>
      <c r="AE53" s="38"/>
      <c r="AF53" s="112"/>
      <c r="AG53" s="112"/>
      <c r="AH53" s="112"/>
      <c r="AI53" s="117"/>
    </row>
    <row r="54" spans="1:35" s="3" customFormat="1" ht="3.6" customHeight="1">
      <c r="A54" s="2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20"/>
    </row>
    <row r="55" spans="1:35" s="3" customFormat="1" ht="3" customHeight="1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9"/>
    </row>
    <row r="56" spans="1:35" s="6" customFormat="1" ht="15.6" customHeight="1">
      <c r="A56" s="30" t="s">
        <v>36</v>
      </c>
      <c r="B56" s="31"/>
      <c r="C56" s="31"/>
      <c r="D56" s="31"/>
      <c r="E56" s="31"/>
      <c r="F56" s="118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20"/>
    </row>
    <row r="57" spans="1:35" s="6" customFormat="1" ht="15.6" customHeight="1">
      <c r="A57" s="30"/>
      <c r="B57" s="31"/>
      <c r="C57" s="31"/>
      <c r="D57" s="31"/>
      <c r="E57" s="31"/>
      <c r="F57" s="118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20"/>
    </row>
    <row r="58" spans="1:35" s="6" customFormat="1" ht="2.1" customHeight="1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4"/>
    </row>
    <row r="59" spans="1:35">
      <c r="A59" s="35" t="s">
        <v>83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F60" s="35"/>
      <c r="AG60" s="5"/>
      <c r="AH60" s="5"/>
      <c r="AI60" s="5"/>
    </row>
  </sheetData>
  <sheetProtection algorithmName="SHA-512" hashValue="CP6kmx5CGjws5xZxFweKN1Fsa9Rh2a607g6gf1pYwwCoaUW/GaoICQVNXzRL/1USO/UV/OFQuIkqaBLoVNMgCw==" saltValue="G9W71SwCCtu8LXCGivUUcw==" spinCount="100000" sheet="1" objects="1" scenarios="1"/>
  <protectedRanges>
    <protectedRange sqref="Y44:Y45" name="Bereich33"/>
    <protectedRange sqref="F56:AI57" name="Bereich31"/>
    <protectedRange sqref="AA48:AD53" name="Bereich29"/>
    <protectedRange sqref="Q48:T53" name="Bereich27"/>
    <protectedRange sqref="G48:J51" name="Bereich25"/>
    <protectedRange sqref="Y44:Y45" name="Bereich23"/>
    <protectedRange sqref="AE28:AI29" name="Bereich21"/>
    <protectedRange sqref="F27:P27" name="Bereich19"/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R9:AI11" name="Bereich6"/>
    <protectedRange sqref="V12:AI14" name="Bereich7"/>
    <protectedRange sqref="AD8:AI8" name="Bereich9"/>
    <protectedRange sqref="G15:P15" name="Bereich11"/>
    <protectedRange sqref="J19:K19 J21:K21 J17:K17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Z27:AH27" name="Bereich20"/>
    <protectedRange sqref="AE31:AH39" name="Bereich22"/>
    <protectedRange sqref="AE44:AE45" name="Bereich24"/>
    <protectedRange sqref="L48:O53" name="Bereich26"/>
    <protectedRange sqref="V48:Y53" name="Bereich28"/>
    <protectedRange sqref="AF48:AI53" name="Bereich30"/>
    <protectedRange sqref="X17:AI17" name="Bereich32"/>
  </protectedRanges>
  <dataConsolidate/>
  <mergeCells count="104">
    <mergeCell ref="AE42:AH42"/>
    <mergeCell ref="R6:AI7"/>
    <mergeCell ref="AE32:AH32"/>
    <mergeCell ref="A9:P9"/>
    <mergeCell ref="A10:P10"/>
    <mergeCell ref="A11:P11"/>
    <mergeCell ref="A6:Q7"/>
    <mergeCell ref="R9:AI9"/>
    <mergeCell ref="R10:AI10"/>
    <mergeCell ref="R11:AI11"/>
    <mergeCell ref="V12:AI12"/>
    <mergeCell ref="A12:D12"/>
    <mergeCell ref="R12:U12"/>
    <mergeCell ref="E12:P12"/>
    <mergeCell ref="R19:Y19"/>
    <mergeCell ref="A28:L44"/>
    <mergeCell ref="R21:W21"/>
    <mergeCell ref="U23:W23"/>
    <mergeCell ref="AE39:AH39"/>
    <mergeCell ref="E14:P14"/>
    <mergeCell ref="F27:P27"/>
    <mergeCell ref="A15:F15"/>
    <mergeCell ref="R15:W15"/>
    <mergeCell ref="V13:AI13"/>
    <mergeCell ref="A14:D14"/>
    <mergeCell ref="R14:U14"/>
    <mergeCell ref="V14:AI14"/>
    <mergeCell ref="R13:U13"/>
    <mergeCell ref="G15:P15"/>
    <mergeCell ref="X15:AI15"/>
    <mergeCell ref="B23:H23"/>
    <mergeCell ref="B25:H25"/>
    <mergeCell ref="J19:K19"/>
    <mergeCell ref="J25:P25"/>
    <mergeCell ref="J21:K21"/>
    <mergeCell ref="X17:AH17"/>
    <mergeCell ref="F57:AI57"/>
    <mergeCell ref="L53:O53"/>
    <mergeCell ref="G48:J48"/>
    <mergeCell ref="G49:J49"/>
    <mergeCell ref="G50:J50"/>
    <mergeCell ref="G51:J51"/>
    <mergeCell ref="G52:J52"/>
    <mergeCell ref="V50:Y50"/>
    <mergeCell ref="V51:Y51"/>
    <mergeCell ref="V52:Y52"/>
    <mergeCell ref="V53:Y53"/>
    <mergeCell ref="F56:AI56"/>
    <mergeCell ref="V48:Y48"/>
    <mergeCell ref="V49:Y49"/>
    <mergeCell ref="Q48:T48"/>
    <mergeCell ref="Q49:T49"/>
    <mergeCell ref="Q50:T50"/>
    <mergeCell ref="Q51:T51"/>
    <mergeCell ref="Q52:T52"/>
    <mergeCell ref="L48:O48"/>
    <mergeCell ref="L49:O49"/>
    <mergeCell ref="L50:O50"/>
    <mergeCell ref="L51:O51"/>
    <mergeCell ref="L52:O52"/>
    <mergeCell ref="V47:Y47"/>
    <mergeCell ref="Q47:T47"/>
    <mergeCell ref="L47:O47"/>
    <mergeCell ref="G47:J47"/>
    <mergeCell ref="AF47:AI47"/>
    <mergeCell ref="AA47:AD47"/>
    <mergeCell ref="H45:I45"/>
    <mergeCell ref="AA53:AD53"/>
    <mergeCell ref="AF48:AI48"/>
    <mergeCell ref="AF49:AI49"/>
    <mergeCell ref="AF50:AI50"/>
    <mergeCell ref="AF51:AI51"/>
    <mergeCell ref="AF52:AI52"/>
    <mergeCell ref="AF53:AI53"/>
    <mergeCell ref="AA48:AD48"/>
    <mergeCell ref="AA49:AD49"/>
    <mergeCell ref="AA50:AD50"/>
    <mergeCell ref="AA51:AD51"/>
    <mergeCell ref="AA52:AD52"/>
    <mergeCell ref="Q53:T53"/>
    <mergeCell ref="J8:P8"/>
    <mergeCell ref="R8:Z8"/>
    <mergeCell ref="AA8:AC8"/>
    <mergeCell ref="AD8:AI8"/>
    <mergeCell ref="B17:P17"/>
    <mergeCell ref="R17:W17"/>
    <mergeCell ref="C45:D45"/>
    <mergeCell ref="AF44:AI44"/>
    <mergeCell ref="AF45:AI45"/>
    <mergeCell ref="AE29:AI29"/>
    <mergeCell ref="Z27:AH27"/>
    <mergeCell ref="AE37:AH37"/>
    <mergeCell ref="AE38:AH38"/>
    <mergeCell ref="AE40:AH40"/>
    <mergeCell ref="AE41:AH41"/>
    <mergeCell ref="AE28:AI28"/>
    <mergeCell ref="AE30:AI30"/>
    <mergeCell ref="AE36:AH36"/>
    <mergeCell ref="AE31:AH31"/>
    <mergeCell ref="AE33:AH33"/>
    <mergeCell ref="AE34:AH34"/>
    <mergeCell ref="AE35:AH35"/>
    <mergeCell ref="E13:P13"/>
    <mergeCell ref="A13:D13"/>
  </mergeCells>
  <phoneticPr fontId="3" type="noConversion"/>
  <dataValidations count="22">
    <dataValidation type="list" allowBlank="1" showInputMessage="1" showErrorMessage="1" sqref="Y43" xr:uid="{00000000-0002-0000-0000-000002000000}">
      <formula1>#REF!</formula1>
    </dataValidation>
    <dataValidation type="list" allowBlank="1" showInputMessage="1" showErrorMessage="1" sqref="Z27:AH27" xr:uid="{00000000-0002-0000-0000-000004000000}">
      <formula1>$A$4:$F$4</formula1>
    </dataValidation>
    <dataValidation type="list" allowBlank="1" showInputMessage="1" showErrorMessage="1" sqref="AE36:AI36" xr:uid="{00000000-0002-0000-0000-000005000000}">
      <formula1>"600"</formula1>
    </dataValidation>
    <dataValidation type="list" allowBlank="1" showInputMessage="1" showErrorMessage="1" sqref="AE38:AH38" xr:uid="{00000000-0002-0000-0000-000006000000}">
      <formula1>"150"</formula1>
    </dataValidation>
    <dataValidation type="list" showInputMessage="1" showErrorMessage="1" sqref="G49:J49 L49:O49 AF49:AI49 V49:Y49 AA49:AD49 Q49:T49" xr:uid="{CE3DA36E-A73E-441D-9969-E8DF163E1D4F}">
      <formula1>"CENTUB,MAROWA,PRC,STZ,GGG,PVC-U,PEHD,PP,GF-UP (GFK)"</formula1>
    </dataValidation>
    <dataValidation type="list" showInputMessage="1" showErrorMessage="1" sqref="G50:J50 L50:O50 AF50:AI50 V50:Y50 AA50:AD50 Q50:T50" xr:uid="{D734616E-7561-44B2-8E41-CCBC81DFD12E}">
      <formula1>"bewehrt,SN 0.5,SN 2,SN 2.5,SN 4,SN 8,SN 10,SN 12,SN 16,SN 2500,SN 5000,SN 10000,EPOXY,PUR,ZM"</formula1>
    </dataValidation>
    <dataValidation type="list" operator="equal" allowBlank="1" showInputMessage="1" showErrorMessage="1" sqref="AE32:AH32" xr:uid="{556D0E4C-F962-41E7-A042-5A318839327A}">
      <formula1>"0,50,100,150"</formula1>
    </dataValidation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AE37:AH37" xr:uid="{00000000-0002-0000-0000-000007000000}">
      <formula1>$Q$2:$AI$2</formula1>
    </dataValidation>
    <dataValidation type="list" allowBlank="1" showInputMessage="1" showErrorMessage="1" sqref="AE33:AH33 AE35:AH35" xr:uid="{2ADECDDE-8FC7-4865-AA9C-E4543505A560}">
      <formula1>"250,375,500,625,750,875,1000,1125,1250,1375,1500,1625,1750,1875,2000,2125,2250,2375,2500,2625,2750,2875,3000,3125,3250,3375,3500,3625,3750,3875,4000,4125,4250,4375,4500,4625,4750,5000,5125,5250,5375,5500,5625,5750,5875,6000"</formula1>
    </dataValidation>
    <dataValidation type="list" allowBlank="1" showInputMessage="1" showErrorMessage="1" sqref="Z19 Z21 Z23 Z25 AE44:AE45 Y44:Y45" xr:uid="{6B64EB9F-8B54-441B-965A-C49D61B92512}">
      <formula1>"X"</formula1>
    </dataValidation>
    <dataValidation type="list" allowBlank="1" showInputMessage="1" showErrorMessage="1" sqref="AE39:AH39" xr:uid="{EA8B2B3B-0ACD-4373-8F7C-3E23B8DC9171}">
      <formula1>"60,80,100"</formula1>
    </dataValidation>
    <dataValidation type="list" allowBlank="1" showInputMessage="1" showErrorMessage="1" sqref="AI17" xr:uid="{6A10B306-F9FD-49B0-9FF1-39DC1AEF2CB6}">
      <formula1>"Werk Brugg 71 ,Werk Lyss 11"</formula1>
    </dataValidation>
    <dataValidation showInputMessage="1" showErrorMessage="1" sqref="J25:P25" xr:uid="{458E6D7C-7809-4340-B54B-4AA65902A84E}"/>
    <dataValidation type="list" allowBlank="1" showInputMessage="1" showErrorMessage="1" sqref="X17:AH17" xr:uid="{3FC0B2D3-FE52-45D3-9BC8-F8892E6EFB9C}">
      <formula1>"Werk Brugg 71,Werk Lyss 11"</formula1>
    </dataValidation>
    <dataValidation type="list" allowBlank="1" showInputMessage="1" showErrorMessage="1" sqref="AE34:AH34" xr:uid="{16A25E5F-9C47-43AA-92CF-A0FB99BD8B87}">
      <formula1>$H$4</formula1>
    </dataValidation>
    <dataValidation type="list" showInputMessage="1" showErrorMessage="1" sqref="L48:O48 AF48:AI48 G48:J48 AA48:AD48 V48:Y48 Q48:T48" xr:uid="{FAE1856E-E533-419E-A079-F5360953E3A0}">
      <formula1>$A$1:$R$1</formula1>
    </dataValidation>
    <dataValidation type="list" allowBlank="1" showInputMessage="1" showErrorMessage="1" sqref="AE31:AH31" xr:uid="{1C38B9FB-3C58-472F-826A-BFA71F9BC437}">
      <formula1>$T$1:$AI$1</formula1>
    </dataValidation>
  </dataValidations>
  <printOptions horizontalCentered="1" verticalCentered="1"/>
  <pageMargins left="0.51181102362204722" right="0.43307086614173229" top="1.1811023622047245" bottom="0.39370078740157483" header="0.39370078740157483" footer="0.39370078740157483"/>
  <pageSetup paperSize="9" scale="98" orientation="portrait" r:id="rId1"/>
  <headerFooter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34" r:id="rId5">
          <objectPr defaultSize="0" autoPict="0" r:id="rId6">
            <anchor>
              <from>
                <xdr:col>11</xdr:col>
                <xdr:colOff>76200</xdr:colOff>
                <xdr:row>29</xdr:row>
                <xdr:rowOff>171450</xdr:rowOff>
              </from>
              <to>
                <xdr:col>23</xdr:col>
                <xdr:colOff>104775</xdr:colOff>
                <xdr:row>41</xdr:row>
                <xdr:rowOff>123825</xdr:rowOff>
              </to>
            </anchor>
          </objectPr>
        </oleObject>
      </mc:Choice>
      <mc:Fallback>
        <oleObject progId="AutoSketch.Drawing.9" shapeId="1034" r:id="rId5"/>
      </mc:Fallback>
    </mc:AlternateContent>
    <mc:AlternateContent xmlns:mc="http://schemas.openxmlformats.org/markup-compatibility/2006">
      <mc:Choice Requires="x14">
        <oleObject progId="AutoSketch.Drawing.9" shapeId="1511" r:id="rId7">
          <objectPr defaultSize="0" autoPict="0" r:id="rId8">
            <anchor moveWithCells="1">
              <from>
                <xdr:col>0</xdr:col>
                <xdr:colOff>0</xdr:colOff>
                <xdr:row>27</xdr:row>
                <xdr:rowOff>104775</xdr:rowOff>
              </from>
              <to>
                <xdr:col>11</xdr:col>
                <xdr:colOff>85725</xdr:colOff>
                <xdr:row>43</xdr:row>
                <xdr:rowOff>161925</xdr:rowOff>
              </to>
            </anchor>
          </objectPr>
        </oleObject>
      </mc:Choice>
      <mc:Fallback>
        <oleObject progId="AutoSketch.Drawing.9" shapeId="1511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2024-11-21T14:40:41Z</cp:lastPrinted>
  <dcterms:created xsi:type="dcterms:W3CDTF">2008-09-29T09:08:30Z</dcterms:created>
  <dcterms:modified xsi:type="dcterms:W3CDTF">2024-11-21T14:40:46Z</dcterms:modified>
</cp:coreProperties>
</file>