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DBB4B87F-3C00-4038-921D-F986763A95C1}" xr6:coauthVersionLast="47" xr6:coauthVersionMax="47" xr10:uidLastSave="{00000000-0000-0000-0000-000000000000}"/>
  <workbookProtection workbookAlgorithmName="SHA-512" workbookHashValue="NktJaa18RJf3OBTfGe3W7uwfIbFa5bAXjb6n2LqbEFk/H8L3zWhVZCY1CGdErI0asdMC2u9njTBJVq5WKqROcw==" workbookSaltValue="3jSMRDZtqVLWX/bNdelqmw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  <c r="AE38" i="1"/>
  <c r="O1" i="1"/>
  <c r="N1" i="1"/>
  <c r="M1" i="1"/>
  <c r="L1" i="1"/>
  <c r="K1" i="1"/>
  <c r="J1" i="1"/>
  <c r="I1" i="1"/>
  <c r="H1" i="1"/>
  <c r="G1" i="1"/>
  <c r="F1" i="1"/>
  <c r="C1" i="1"/>
  <c r="S51" i="1" l="1"/>
  <c r="N51" i="1"/>
  <c r="H51" i="1"/>
  <c r="S49" i="1"/>
  <c r="N49" i="1"/>
  <c r="H49" i="1"/>
  <c r="L61" i="1"/>
  <c r="G59" i="1"/>
  <c r="AE30" i="1"/>
  <c r="AE39" i="1" s="1"/>
  <c r="AE40" i="1" s="1"/>
  <c r="AA1" i="1"/>
  <c r="Z1" i="1"/>
  <c r="T2" i="1"/>
  <c r="Q1" i="1"/>
  <c r="AC1" i="1"/>
  <c r="E1" i="1"/>
  <c r="D1" i="1"/>
  <c r="B1" i="1"/>
  <c r="R1" i="1"/>
  <c r="V1" i="1"/>
  <c r="AF1" i="1"/>
  <c r="AE1" i="1"/>
  <c r="AD1" i="1"/>
  <c r="AI1" i="1"/>
  <c r="AB1" i="1"/>
  <c r="AI2" i="1"/>
  <c r="AH2" i="1"/>
  <c r="AG2" i="1"/>
  <c r="R2" i="1"/>
  <c r="S1" i="1"/>
  <c r="Y1" i="1"/>
  <c r="X1" i="1"/>
  <c r="W1" i="1"/>
  <c r="U1" i="1"/>
  <c r="T1" i="1"/>
  <c r="R23" i="1"/>
  <c r="Y33" i="1" l="1"/>
  <c r="F4" i="1" s="1"/>
  <c r="B21" i="1"/>
  <c r="J23" i="1"/>
  <c r="AF2" i="1"/>
  <c r="AE2" i="1"/>
  <c r="AD2" i="1"/>
  <c r="AC2" i="1"/>
  <c r="AB2" i="1"/>
  <c r="AA2" i="1"/>
  <c r="Z2" i="1"/>
  <c r="Y2" i="1"/>
  <c r="X2" i="1"/>
  <c r="W2" i="1"/>
  <c r="V2" i="1"/>
  <c r="S2" i="1"/>
</calcChain>
</file>

<file path=xl/sharedStrings.xml><?xml version="1.0" encoding="utf-8"?>
<sst xmlns="http://schemas.openxmlformats.org/spreadsheetml/2006/main" count="121" uniqueCount="101">
  <si>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</si>
  <si>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</si>
  <si>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</si>
  <si>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</si>
  <si>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</si>
  <si>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</si>
  <si>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</si>
  <si>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</si>
  <si>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</si>
  <si>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</si>
  <si>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</si>
  <si>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</si>
  <si>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</si>
  <si>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>h1</t>
  </si>
  <si>
    <t xml:space="preserve">D </t>
  </si>
  <si>
    <t>Auslauf m.ü.M</t>
  </si>
  <si>
    <t>HT</t>
  </si>
  <si>
    <t>h2</t>
  </si>
  <si>
    <t>O.K. Deckel m.ü.M</t>
  </si>
  <si>
    <t>Trittnischen</t>
  </si>
  <si>
    <t>links</t>
  </si>
  <si>
    <t>rechts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</si>
  <si>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</si>
  <si>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</si>
  <si>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</si>
  <si>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</si>
  <si>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</si>
  <si>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</si>
  <si>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</si>
  <si>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</si>
  <si>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</si>
  <si>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</si>
  <si>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</si>
  <si>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</si>
  <si>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</si>
  <si>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</si>
  <si>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</si>
  <si>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</si>
  <si>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</si>
  <si>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</si>
  <si>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</si>
  <si>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</si>
  <si>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</si>
  <si>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</si>
  <si>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</si>
  <si>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</si>
  <si>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</si>
  <si>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</si>
  <si>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</si>
  <si>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</si>
  <si>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</si>
  <si>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</si>
  <si>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gegen Fliessrichtung</t>
  </si>
  <si>
    <t>Unterteilhöhe</t>
  </si>
  <si>
    <t xml:space="preserve">Schachthöhe </t>
  </si>
  <si>
    <t xml:space="preserve">Schachtring </t>
  </si>
  <si>
    <t>HS</t>
  </si>
  <si>
    <t xml:space="preserve">Deckelhöhe </t>
  </si>
  <si>
    <t>HD</t>
  </si>
  <si>
    <t>h3</t>
  </si>
  <si>
    <t>MAROWA</t>
  </si>
  <si>
    <t>t1=</t>
  </si>
  <si>
    <t>mm</t>
  </si>
  <si>
    <t>Lieferung LKW spezifikationen</t>
  </si>
  <si>
    <t>auf Baustelle</t>
  </si>
  <si>
    <t>Lieferzeit</t>
  </si>
  <si>
    <t>Gehänge mitliefern</t>
  </si>
  <si>
    <t>Gehänge mit Kunde klären</t>
  </si>
  <si>
    <t>Lieferwerk</t>
  </si>
  <si>
    <t>Höhe (mm) gem. Plan</t>
  </si>
  <si>
    <t>CREABETON Juni 2024/str</t>
  </si>
  <si>
    <t>Nennweite</t>
  </si>
  <si>
    <t>WN/LN 900/1100</t>
  </si>
  <si>
    <t xml:space="preserve">Konus Typ ZH </t>
  </si>
  <si>
    <t>Winkelangaben</t>
  </si>
  <si>
    <t>Konus/Abdeckpl.</t>
  </si>
  <si>
    <t>X</t>
  </si>
  <si>
    <t>Altgrad</t>
  </si>
  <si>
    <t>Längsgestellt</t>
  </si>
  <si>
    <t>Quergestellt</t>
  </si>
  <si>
    <t>Stellung</t>
  </si>
  <si>
    <t>Radius</t>
  </si>
  <si>
    <t>Tangentlänge</t>
  </si>
  <si>
    <t>Stichmass</t>
  </si>
  <si>
    <t>längsgestellt</t>
  </si>
  <si>
    <t>R</t>
  </si>
  <si>
    <t>ta</t>
  </si>
  <si>
    <t>a</t>
  </si>
  <si>
    <t>exzentrisch</t>
  </si>
  <si>
    <t>quergestellt</t>
  </si>
  <si>
    <t xml:space="preserve">zentrisch </t>
  </si>
  <si>
    <t>Winkel (°)</t>
  </si>
  <si>
    <r>
      <t xml:space="preserve">Konus </t>
    </r>
    <r>
      <rPr>
        <sz val="8"/>
        <rFont val="Arial"/>
        <family val="2"/>
      </rPr>
      <t>WN/LN</t>
    </r>
    <r>
      <rPr>
        <sz val="9"/>
        <rFont val="Arial"/>
        <family val="2"/>
      </rPr>
      <t>/ 625</t>
    </r>
  </si>
  <si>
    <t>Einlauf 1</t>
  </si>
  <si>
    <t>Einlauf 2</t>
  </si>
  <si>
    <t>Einlauf 3</t>
  </si>
  <si>
    <t>Einlauf 4</t>
  </si>
  <si>
    <t>Einlauf 5</t>
  </si>
  <si>
    <t>Abdeckplatte</t>
  </si>
  <si>
    <t>A 06 01 CENTUB®-Massschacht oval
Bestellformular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</si>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</sst>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Frutiger LT Std 47 Light Cn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7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" xfId="0" applyFont="1" applyBorder="1"/>
    <xf numFmtId="0" fontId="16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0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20" fillId="0" borderId="0" xfId="0" applyFont="1" applyAlignment="1">
      <alignment horizontal="center" vertical="center" readingOrder="1"/>
    </xf>
    <xf numFmtId="0" fontId="15" fillId="0" borderId="1" xfId="0" applyFont="1" applyBorder="1" applyAlignment="1">
      <alignment horizontal="center" vertical="center"/>
    </xf>
    <xf numFmtId="0" fontId="19" fillId="0" borderId="0" xfId="0" applyFont="1"/>
    <xf numFmtId="0" fontId="1" fillId="0" borderId="12" xfId="0" applyFont="1" applyBorder="1"/>
    <xf numFmtId="0" fontId="8" fillId="0" borderId="0" xfId="0" applyFont="1" applyAlignment="1">
      <alignment vertical="center"/>
    </xf>
    <xf numFmtId="1" fontId="1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2" fontId="12" fillId="2" borderId="5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1" xfId="0" applyFont="1" applyBorder="1"/>
    <xf numFmtId="0" fontId="10" fillId="2" borderId="10" xfId="0" applyFont="1" applyFill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readingOrder="1"/>
    </xf>
    <xf numFmtId="1" fontId="1" fillId="0" borderId="2" xfId="0" applyNumberFormat="1" applyFont="1" applyBorder="1" applyAlignment="1">
      <alignment horizontal="center"/>
    </xf>
    <xf numFmtId="0" fontId="17" fillId="2" borderId="13" xfId="2" applyFill="1" applyBorder="1" applyAlignment="1" applyProtection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/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  <xf numFmtId="1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3" fillId="0" borderId="3" xfId="0" applyFont="1" applyBorder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15240</xdr:rowOff>
    </xdr:from>
    <xdr:to>
      <xdr:col>11</xdr:col>
      <xdr:colOff>114300</xdr:colOff>
      <xdr:row>47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175260</xdr:colOff>
      <xdr:row>27</xdr:row>
      <xdr:rowOff>25038</xdr:rowOff>
    </xdr:from>
    <xdr:ext cx="940257" cy="239809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99260" y="3850278"/>
          <a:ext cx="940257" cy="23980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Längsgestellt</a:t>
          </a:r>
        </a:p>
      </xdr:txBody>
    </xdr:sp>
    <xdr:clientData/>
  </xdr:oneCellAnchor>
  <xdr:oneCellAnchor>
    <xdr:from>
      <xdr:col>17</xdr:col>
      <xdr:colOff>31569</xdr:colOff>
      <xdr:row>27</xdr:row>
      <xdr:rowOff>9798</xdr:rowOff>
    </xdr:from>
    <xdr:ext cx="876009" cy="239809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70069" y="3835038"/>
          <a:ext cx="876009" cy="23980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Quergestellt</a:t>
          </a:r>
        </a:p>
      </xdr:txBody>
    </xdr:sp>
    <xdr:clientData/>
  </xdr:oneCellAnchor>
  <xdr:oneCellAnchor>
    <xdr:from>
      <xdr:col>13</xdr:col>
      <xdr:colOff>65316</xdr:colOff>
      <xdr:row>36</xdr:row>
      <xdr:rowOff>93616</xdr:rowOff>
    </xdr:from>
    <xdr:ext cx="704937" cy="239809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1816" y="5701936"/>
          <a:ext cx="704937" cy="23980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Beispiele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7</xdr:col>
          <xdr:colOff>66675</xdr:colOff>
          <xdr:row>42</xdr:row>
          <xdr:rowOff>38100</xdr:rowOff>
        </xdr:to>
        <xdr:sp macro="" textlink="">
          <xdr:nvSpPr>
            <xdr:cNvPr id="1518" name="Object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19050</xdr:rowOff>
        </xdr:from>
        <xdr:to>
          <xdr:col>24</xdr:col>
          <xdr:colOff>57150</xdr:colOff>
          <xdr:row>42</xdr:row>
          <xdr:rowOff>133350</xdr:rowOff>
        </xdr:to>
        <xdr:sp macro="" textlink="">
          <xdr:nvSpPr>
            <xdr:cNvPr id="1524" name="Object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0</xdr:colOff>
      <xdr:row>0</xdr:row>
      <xdr:rowOff>0</xdr:rowOff>
    </xdr:from>
    <xdr:to>
      <xdr:col>35</xdr:col>
      <xdr:colOff>30480</xdr:colOff>
      <xdr:row>4</xdr:row>
      <xdr:rowOff>60960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0" y="0"/>
          <a:ext cx="6697980" cy="335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6"/>
  <sheetViews>
    <sheetView showGridLines="0" tabSelected="1" view="pageLayout" zoomScaleNormal="100" workbookViewId="0">
      <selection activeCell="A10" sqref="A10:P10"/>
    </sheetView>
  </sheetViews>
  <sheetFormatPr baseColWidth="10" defaultColWidth="1.7109375" defaultRowHeight="12.75"/>
  <cols>
    <col min="1" max="35" width="2.7109375" style="1" customWidth="1"/>
    <col min="36" max="36" width="1.7109375" style="1"/>
    <col min="37" max="37" width="2.140625" style="1" bestFit="1" customWidth="1"/>
    <col min="38" max="16384" width="1.7109375" style="1"/>
  </cols>
  <sheetData>
    <row r="1" spans="1:35" ht="5.45" customHeight="1">
      <c r="A1" s="51"/>
      <c r="B1" s="1" t="str">
        <f>IF($AE$31="","Unterteilhöhe auswählen","")</f>
        <v>Unterteilhöhe auswählen</v>
      </c>
      <c r="C1" s="1" t="str">
        <f>IF($AE$31="","",110)</f>
        <v/>
      </c>
      <c r="D1" s="1" t="str">
        <f>IF($AE$31="","",125)</f>
        <v/>
      </c>
      <c r="E1" s="1" t="str">
        <f>IF($AE$31="","",160)</f>
        <v/>
      </c>
      <c r="F1" s="1" t="str">
        <f>IF($AE$31="","",200)</f>
        <v/>
      </c>
      <c r="G1" s="1" t="str">
        <f>IF($AE$31="","",250)</f>
        <v/>
      </c>
      <c r="H1" s="1" t="str">
        <f>IF($AE$31="","",300)</f>
        <v/>
      </c>
      <c r="I1" s="1" t="str">
        <f>IF($AE$31="","",350)</f>
        <v/>
      </c>
      <c r="J1" s="1" t="str">
        <f>IF($AE$31="","",400)</f>
        <v/>
      </c>
      <c r="K1" s="1" t="str">
        <f>IF($AE$31="","",IF($AE$31&gt;=1015,450,""))</f>
        <v/>
      </c>
      <c r="L1" s="1" t="str">
        <f>IF($AE$31="","",IF($AE$31&gt;=1015,500,""))</f>
        <v/>
      </c>
      <c r="M1" s="1" t="str">
        <f>IF($AE$31="","",IF($AE$31&gt;=1015,600,""))</f>
        <v/>
      </c>
      <c r="N1" s="1" t="str">
        <f>IF($AE$31="","",IF($AE$31&gt;=1225,700,""))</f>
        <v/>
      </c>
      <c r="O1" s="1" t="str">
        <f>IF($AE$31="","",IF($AE$31&gt;=1225,800,""))</f>
        <v/>
      </c>
      <c r="P1" s="52"/>
      <c r="Q1" s="52" t="str">
        <f>IF(Z27="","DN auswählen","")</f>
        <v>DN auswählen</v>
      </c>
      <c r="R1" s="52" t="str">
        <f>IF($Z$27="","",IF($X$17="","Lieferwerk?",IF($Z$27=800,350,"")))</f>
        <v/>
      </c>
      <c r="S1" s="52" t="str">
        <f>IF(Z27="","",IF(X17="","Lieferwerk?",IF(Z27=800,475,"")))</f>
        <v/>
      </c>
      <c r="T1" s="52" t="str">
        <f>IF(Z27="","",IF(X17="","Lieferwerk?",IF(Z27=800,600,"")))</f>
        <v/>
      </c>
      <c r="U1" s="52" t="str">
        <f>IF(Z27="","",IF(X17="","Lieferwerk?",IF(Z27=800,725,"")))</f>
        <v/>
      </c>
      <c r="V1" s="52" t="str">
        <f>IF($Z$27="","",IF($X$17="","Lieferwerk?",IF($Z$27&gt;=799,550,"")))</f>
        <v/>
      </c>
      <c r="W1" s="52" t="str">
        <f>IF(Z27="","",IF(X17="","Lieferwerk?",IF(Z27&gt;=799,675,"")))</f>
        <v/>
      </c>
      <c r="X1" s="52" t="str">
        <f>IF(Z27="","",IF(X17="","Lieferwerk?",IF(Z27&gt;=799,800,"")))</f>
        <v/>
      </c>
      <c r="Y1" s="52" t="str">
        <f>IF(Z27="","",IF(X17="","Lieferwerk?",IF(Z27&gt;=799,925,"")))</f>
        <v/>
      </c>
      <c r="Z1" s="52" t="str">
        <f>IF(Z27="","",IF($X$17="","Lieferwerk?",IF(Z27&gt;=999,1050,"")))</f>
        <v/>
      </c>
      <c r="AA1" s="52" t="str">
        <f>IF($Z$27="","",IF($X$17="","Lieferwerk?",IF(AND($X$17="Werk Brugg 71",$Z$27=1200),1030,"")))</f>
        <v/>
      </c>
      <c r="AB1" s="52" t="str">
        <f>IF($Z$27="","",IF($X$17="","Lieferwerk?",IF($Z$27&gt;=999,1175,"")))</f>
        <v/>
      </c>
      <c r="AC1" s="52" t="str">
        <f>IF($Z$27="","",IF($X$17="","Lieferwerk?",IF($Z$27&gt;=1199,1155,"")))</f>
        <v/>
      </c>
      <c r="AD1" s="52" t="str">
        <f>IF($Z$27="","",IF($X$17="","Lieferwerk?",IF($Z$27&gt;=1199,1280,"")))</f>
        <v/>
      </c>
      <c r="AE1" s="52" t="str">
        <f>IF($Z$27="","",IF($X$17="","Lieferwerk?",IF($Z$27&gt;=1199,1405,"")))</f>
        <v/>
      </c>
      <c r="AF1" s="52" t="str">
        <f>IF($Z$27="","",IF($X$17="","Lieferwerk?",IF($Z$27&gt;=1199,1530,"")))</f>
        <v/>
      </c>
      <c r="AG1" s="52"/>
      <c r="AH1" s="52"/>
      <c r="AI1" s="52" t="str">
        <f>IF($Z$27="","",IF($X$17="","Lieferwerk?",IF(AND($X$17="Werk Brugg",$Z$27&gt;=1199),1030,"")))</f>
        <v/>
      </c>
    </row>
    <row r="2" spans="1:35" ht="5.45" customHeight="1">
      <c r="A2" s="53"/>
      <c r="B2" s="7" t="s">
        <v>31</v>
      </c>
      <c r="C2" s="7" t="s">
        <v>32</v>
      </c>
      <c r="D2" s="7" t="s">
        <v>33</v>
      </c>
      <c r="E2" s="7" t="s">
        <v>34</v>
      </c>
      <c r="F2" s="54" t="s">
        <v>35</v>
      </c>
      <c r="G2" s="7" t="s">
        <v>36</v>
      </c>
      <c r="H2" s="7" t="s">
        <v>37</v>
      </c>
      <c r="I2" s="1" t="s">
        <v>60</v>
      </c>
      <c r="R2" s="1">
        <f>IF($Z$27&lt;1200,375,"")</f>
        <v>375</v>
      </c>
      <c r="S2" s="1">
        <f>IF($Z$27&lt;1200,500,"")</f>
        <v>500</v>
      </c>
      <c r="T2" s="1" t="str">
        <f>IF(AND($Z$27&lt;1200,X17="Werk Lyss 11"),535,"")</f>
        <v/>
      </c>
      <c r="U2" s="1">
        <f>IF($Z$27&lt;1200,625,"")</f>
        <v>625</v>
      </c>
      <c r="V2" s="1">
        <f>IF($Z$27&lt;1200,750,"")</f>
        <v>750</v>
      </c>
      <c r="W2" s="1">
        <f>IF($Z$27&lt;1200,875,"")</f>
        <v>875</v>
      </c>
      <c r="X2" s="1">
        <f>IF($Z$27&lt;1200,1000,"")</f>
        <v>1000</v>
      </c>
      <c r="Y2" s="1">
        <f>IF($Z$27&lt;1200,1125,"")</f>
        <v>1125</v>
      </c>
      <c r="Z2" s="1">
        <f>IF($Z$27&lt;1200,1250,"")</f>
        <v>1250</v>
      </c>
      <c r="AA2" s="1">
        <f>IF($Z$27&lt;1200,1375,"")</f>
        <v>1375</v>
      </c>
      <c r="AB2" s="1">
        <f>IF($Z$27&lt;1200,1500,"")</f>
        <v>1500</v>
      </c>
      <c r="AC2" s="1">
        <f>IF($Z$27&lt;1200,1625,"")</f>
        <v>1625</v>
      </c>
      <c r="AD2" s="1">
        <f>IF($Z$27&lt;1200,1750,"")</f>
        <v>1750</v>
      </c>
      <c r="AE2" s="1">
        <f>IF($Z$27&lt;1200,1875,"")</f>
        <v>1875</v>
      </c>
      <c r="AF2" s="1">
        <f>IF($Z$27&lt;1200,2000,"")</f>
        <v>2000</v>
      </c>
      <c r="AG2" s="1" t="str">
        <f>IF(AND($Z$27&lt;1200,X17="Werk Brugg"),2125,"")</f>
        <v/>
      </c>
      <c r="AH2" s="1" t="str">
        <f>IF(AND($Z$27&lt;1200,X17="Werk Brugg"),2250,"")</f>
        <v/>
      </c>
      <c r="AI2" s="1" t="str">
        <f>IF(AND($Z$27&lt;1200,X17="Werk Brugg"),2375,"")</f>
        <v/>
      </c>
    </row>
    <row r="3" spans="1:35" ht="5.45" customHeight="1">
      <c r="A3" s="53"/>
      <c r="B3" s="4"/>
      <c r="C3" s="1" t="s">
        <v>38</v>
      </c>
      <c r="D3" s="1" t="s">
        <v>39</v>
      </c>
      <c r="E3" s="1" t="s">
        <v>41</v>
      </c>
      <c r="F3" s="1" t="s">
        <v>40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1" t="s">
        <v>47</v>
      </c>
      <c r="M3" s="1" t="s">
        <v>48</v>
      </c>
      <c r="N3" s="1" t="s">
        <v>49</v>
      </c>
      <c r="O3" s="1" t="s">
        <v>50</v>
      </c>
      <c r="P3" s="1" t="s">
        <v>51</v>
      </c>
    </row>
    <row r="4" spans="1:35" ht="5.45" customHeight="1">
      <c r="A4" s="53"/>
      <c r="B4" s="4">
        <v>800</v>
      </c>
      <c r="C4" s="4">
        <v>1000</v>
      </c>
      <c r="D4" s="1">
        <v>1200</v>
      </c>
      <c r="F4" s="21">
        <f>IF($Y$33="Ruhepodest?",500,0)</f>
        <v>0</v>
      </c>
    </row>
    <row r="5" spans="1:35" ht="5.45" customHeight="1">
      <c r="A5" s="53"/>
      <c r="B5" s="4"/>
      <c r="C5" s="4"/>
    </row>
    <row r="6" spans="1:35" s="2" customFormat="1" ht="13.9" customHeight="1">
      <c r="A6" s="153" t="s">
        <v>99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48" t="s">
        <v>100</v>
      </c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5" s="2" customFormat="1" ht="22.9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49"/>
      <c r="S7" s="149"/>
      <c r="T7" s="149"/>
      <c r="U7" s="149"/>
      <c r="V7" s="149"/>
      <c r="W7" s="149"/>
      <c r="X7" s="149"/>
      <c r="Y7" s="149"/>
      <c r="Z7" s="149"/>
      <c r="AA7" s="150"/>
      <c r="AB7" s="150"/>
      <c r="AC7" s="150"/>
      <c r="AD7" s="150"/>
      <c r="AE7" s="150"/>
      <c r="AF7" s="150"/>
      <c r="AG7" s="150"/>
      <c r="AH7" s="150"/>
      <c r="AI7" s="150"/>
    </row>
    <row r="8" spans="1:35" ht="16.899999999999999" customHeight="1">
      <c r="A8" s="31" t="s">
        <v>0</v>
      </c>
      <c r="B8" s="19"/>
      <c r="C8" s="19"/>
      <c r="D8" s="19"/>
      <c r="E8" s="19"/>
      <c r="F8" s="33" t="s">
        <v>5</v>
      </c>
      <c r="G8" s="32"/>
      <c r="H8" s="32"/>
      <c r="I8" s="32"/>
      <c r="J8" s="110"/>
      <c r="K8" s="114"/>
      <c r="L8" s="114"/>
      <c r="M8" s="114"/>
      <c r="N8" s="114"/>
      <c r="O8" s="114"/>
      <c r="P8" s="115"/>
      <c r="Q8" s="50"/>
      <c r="R8" s="116" t="s">
        <v>6</v>
      </c>
      <c r="S8" s="117"/>
      <c r="T8" s="117"/>
      <c r="U8" s="117"/>
      <c r="V8" s="117"/>
      <c r="W8" s="117"/>
      <c r="X8" s="117"/>
      <c r="Y8" s="117"/>
      <c r="Z8" s="118"/>
      <c r="AA8" s="119" t="s">
        <v>7</v>
      </c>
      <c r="AB8" s="120"/>
      <c r="AC8" s="120"/>
      <c r="AD8" s="121"/>
      <c r="AE8" s="121"/>
      <c r="AF8" s="121"/>
      <c r="AG8" s="121"/>
      <c r="AH8" s="121"/>
      <c r="AI8" s="122"/>
    </row>
    <row r="9" spans="1:35" ht="16.899999999999999" customHeight="1">
      <c r="A9" s="151"/>
      <c r="B9" s="152"/>
      <c r="C9" s="152"/>
      <c r="D9" s="152"/>
      <c r="E9" s="152"/>
      <c r="F9" s="152"/>
      <c r="G9" s="152"/>
      <c r="H9" s="152"/>
      <c r="I9" s="136"/>
      <c r="J9" s="136"/>
      <c r="K9" s="136"/>
      <c r="L9" s="136"/>
      <c r="M9" s="136"/>
      <c r="N9" s="136"/>
      <c r="O9" s="136"/>
      <c r="P9" s="137"/>
      <c r="Q9" s="4"/>
      <c r="R9" s="151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5"/>
    </row>
    <row r="10" spans="1:35" ht="16.899999999999999" customHeight="1">
      <c r="A10" s="151"/>
      <c r="B10" s="152"/>
      <c r="C10" s="152"/>
      <c r="D10" s="152"/>
      <c r="E10" s="152"/>
      <c r="F10" s="152"/>
      <c r="G10" s="152"/>
      <c r="H10" s="152"/>
      <c r="I10" s="136"/>
      <c r="J10" s="136"/>
      <c r="K10" s="136"/>
      <c r="L10" s="136"/>
      <c r="M10" s="136"/>
      <c r="N10" s="136"/>
      <c r="O10" s="136"/>
      <c r="P10" s="137"/>
      <c r="Q10" s="7"/>
      <c r="R10" s="156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8"/>
    </row>
    <row r="11" spans="1:35" ht="16.899999999999999" customHeight="1">
      <c r="A11" s="151"/>
      <c r="B11" s="152"/>
      <c r="C11" s="152"/>
      <c r="D11" s="152"/>
      <c r="E11" s="152"/>
      <c r="F11" s="152"/>
      <c r="G11" s="152"/>
      <c r="H11" s="152"/>
      <c r="I11" s="136"/>
      <c r="J11" s="136"/>
      <c r="K11" s="136"/>
      <c r="L11" s="136"/>
      <c r="M11" s="136"/>
      <c r="N11" s="136"/>
      <c r="O11" s="136"/>
      <c r="P11" s="137"/>
      <c r="Q11" s="7"/>
      <c r="R11" s="159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9"/>
    </row>
    <row r="12" spans="1:35" ht="16.899999999999999" customHeight="1">
      <c r="A12" s="160" t="s">
        <v>1</v>
      </c>
      <c r="B12" s="161"/>
      <c r="C12" s="161"/>
      <c r="D12" s="16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  <c r="Q12" s="7" t="s">
        <v>8</v>
      </c>
      <c r="R12" s="160" t="s">
        <v>1</v>
      </c>
      <c r="S12" s="161"/>
      <c r="T12" s="161"/>
      <c r="U12" s="161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9"/>
    </row>
    <row r="13" spans="1:35" ht="16.899999999999999" customHeight="1">
      <c r="A13" s="100" t="s">
        <v>2</v>
      </c>
      <c r="B13" s="101"/>
      <c r="C13" s="101"/>
      <c r="D13" s="101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7"/>
      <c r="Q13" s="7"/>
      <c r="R13" s="100" t="s">
        <v>2</v>
      </c>
      <c r="S13" s="101"/>
      <c r="T13" s="101"/>
      <c r="U13" s="101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9"/>
    </row>
    <row r="14" spans="1:35" ht="16.899999999999999" customHeight="1" thickBot="1">
      <c r="A14" s="138" t="s">
        <v>3</v>
      </c>
      <c r="B14" s="139"/>
      <c r="C14" s="139"/>
      <c r="D14" s="13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49"/>
      <c r="R14" s="138" t="s">
        <v>3</v>
      </c>
      <c r="S14" s="139"/>
      <c r="T14" s="139"/>
      <c r="U14" s="139"/>
      <c r="V14" s="97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9"/>
    </row>
    <row r="15" spans="1:35" s="3" customFormat="1" ht="19.149999999999999" customHeight="1" thickTop="1">
      <c r="A15" s="169" t="s">
        <v>4</v>
      </c>
      <c r="B15" s="112"/>
      <c r="C15" s="112"/>
      <c r="D15" s="112"/>
      <c r="E15" s="112"/>
      <c r="F15" s="112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"/>
      <c r="R15" s="112" t="s">
        <v>9</v>
      </c>
      <c r="S15" s="113"/>
      <c r="T15" s="113"/>
      <c r="U15" s="113"/>
      <c r="V15" s="113"/>
      <c r="W15" s="113"/>
      <c r="X15" s="102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4"/>
    </row>
    <row r="16" spans="1:35" s="3" customFormat="1" ht="2.1" customHeight="1">
      <c r="A16" s="9"/>
      <c r="B16" s="4"/>
      <c r="C16" s="4"/>
      <c r="D16" s="4"/>
      <c r="E16" s="4"/>
      <c r="F16" s="4"/>
      <c r="G16" s="10"/>
      <c r="H16" s="4"/>
      <c r="I16" s="4"/>
      <c r="J16" s="4"/>
      <c r="K16" s="4"/>
      <c r="L16" s="4"/>
      <c r="M16" s="4"/>
      <c r="N16" s="4"/>
      <c r="O16" s="4"/>
      <c r="P16" s="4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4"/>
      <c r="AC16" s="4"/>
      <c r="AD16" s="4"/>
      <c r="AE16" s="4"/>
      <c r="AF16" s="4"/>
      <c r="AG16" s="4"/>
      <c r="AH16" s="7"/>
      <c r="AI16" s="11"/>
    </row>
    <row r="17" spans="1:35" s="3" customFormat="1" ht="19.149999999999999" customHeight="1">
      <c r="A17" s="12"/>
      <c r="B17" s="123" t="s">
        <v>63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0"/>
      <c r="R17" s="125" t="s">
        <v>68</v>
      </c>
      <c r="S17" s="126"/>
      <c r="T17" s="126"/>
      <c r="U17" s="126"/>
      <c r="V17" s="126"/>
      <c r="W17" s="126"/>
      <c r="X17" s="147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55"/>
    </row>
    <row r="18" spans="1:35" s="3" customFormat="1" ht="2.1" customHeight="1">
      <c r="A18" s="9"/>
      <c r="B18" s="4"/>
      <c r="C18" s="4"/>
      <c r="D18" s="4"/>
      <c r="E18" s="4"/>
      <c r="F18" s="4"/>
      <c r="G18" s="10"/>
      <c r="H18" s="4"/>
      <c r="I18" s="4"/>
      <c r="J18" s="4"/>
      <c r="K18" s="4"/>
      <c r="L18" s="4"/>
      <c r="M18" s="4"/>
      <c r="N18" s="4"/>
      <c r="O18" s="4"/>
      <c r="P18" s="4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4"/>
      <c r="AC18" s="4"/>
      <c r="AD18" s="4"/>
      <c r="AE18" s="4"/>
      <c r="AF18" s="4"/>
      <c r="AG18" s="4"/>
      <c r="AH18" s="7"/>
      <c r="AI18" s="11"/>
    </row>
    <row r="19" spans="1:35" s="3" customFormat="1" ht="14.1" customHeight="1">
      <c r="A19" s="12"/>
      <c r="B19" s="27" t="s">
        <v>63</v>
      </c>
      <c r="C19" s="10"/>
      <c r="D19" s="4"/>
      <c r="E19" s="27" t="s">
        <v>64</v>
      </c>
      <c r="F19" s="4"/>
      <c r="G19" s="4"/>
      <c r="H19" s="4"/>
      <c r="I19" s="4"/>
      <c r="J19" s="142"/>
      <c r="K19" s="143"/>
      <c r="M19" s="4"/>
      <c r="N19" s="27"/>
      <c r="P19" s="10"/>
      <c r="Q19" s="10"/>
      <c r="R19" s="162" t="s">
        <v>65</v>
      </c>
      <c r="S19" s="126"/>
      <c r="T19" s="126"/>
      <c r="U19" s="126"/>
      <c r="V19" s="126"/>
      <c r="W19" s="126"/>
      <c r="X19" s="126"/>
      <c r="Y19" s="126"/>
      <c r="Z19" s="29"/>
      <c r="AB19" s="41" t="s">
        <v>66</v>
      </c>
      <c r="AD19" s="4"/>
      <c r="AE19" s="4"/>
      <c r="AF19" s="4"/>
      <c r="AG19" s="10"/>
      <c r="AH19" s="7"/>
      <c r="AI19" s="11"/>
    </row>
    <row r="20" spans="1:35" s="3" customFormat="1" ht="2.1" customHeight="1">
      <c r="A20" s="14"/>
      <c r="B20" s="10"/>
      <c r="C20" s="10"/>
      <c r="D20" s="4"/>
      <c r="E20" s="4"/>
      <c r="F20" s="4"/>
      <c r="G20" s="4"/>
      <c r="H20" s="4"/>
      <c r="I20" s="4"/>
      <c r="J20" s="15"/>
      <c r="K20" s="4"/>
      <c r="L20" s="4"/>
      <c r="M20" s="4"/>
      <c r="N20" s="10"/>
      <c r="O20" s="10"/>
      <c r="P20" s="10"/>
      <c r="Q20" s="10"/>
      <c r="R20" s="15"/>
      <c r="S20" s="4"/>
      <c r="T20" s="4"/>
      <c r="U20" s="4"/>
      <c r="V20" s="10"/>
      <c r="W20" s="10"/>
      <c r="X20" s="10"/>
      <c r="Y20" s="10"/>
      <c r="Z20" s="15"/>
      <c r="AB20" s="4"/>
      <c r="AD20" s="4"/>
      <c r="AE20" s="10"/>
      <c r="AF20" s="10"/>
      <c r="AG20" s="10"/>
      <c r="AH20" s="7"/>
      <c r="AI20" s="11"/>
    </row>
    <row r="21" spans="1:35" s="3" customFormat="1" ht="14.1" customHeight="1">
      <c r="A21" s="16"/>
      <c r="B21" s="27" t="str">
        <f>IF(J19="nein","","LKW spezifikationen")</f>
        <v>LKW spezifikationen</v>
      </c>
      <c r="I21" s="4"/>
      <c r="J21" s="142"/>
      <c r="K21" s="146"/>
      <c r="L21" s="4" t="s">
        <v>10</v>
      </c>
      <c r="M21" s="4"/>
      <c r="N21" s="4"/>
      <c r="O21" s="4"/>
      <c r="P21" s="10"/>
      <c r="Q21" s="10"/>
      <c r="R21" s="163"/>
      <c r="S21" s="164"/>
      <c r="T21" s="164"/>
      <c r="U21" s="164"/>
      <c r="V21" s="164"/>
      <c r="W21" s="165"/>
      <c r="X21" s="48"/>
      <c r="Y21" s="48"/>
      <c r="Z21" s="29"/>
      <c r="AB21" s="41" t="s">
        <v>67</v>
      </c>
      <c r="AD21" s="4"/>
      <c r="AE21" s="4"/>
      <c r="AF21" s="4"/>
      <c r="AG21" s="10"/>
      <c r="AH21" s="7"/>
      <c r="AI21" s="11"/>
    </row>
    <row r="22" spans="1:35" s="3" customFormat="1" ht="2.1" customHeight="1">
      <c r="A22" s="16"/>
      <c r="B22" s="26"/>
      <c r="C22" s="10"/>
      <c r="D22" s="4"/>
      <c r="E22" s="4"/>
      <c r="F22" s="4"/>
      <c r="G22" s="4"/>
      <c r="H22" s="4"/>
      <c r="I22" s="4"/>
      <c r="J22" s="15"/>
      <c r="K22" s="4"/>
      <c r="L22" s="4"/>
      <c r="M22" s="4"/>
      <c r="N22" s="4"/>
      <c r="O22" s="4"/>
      <c r="P22" s="10"/>
      <c r="Q22" s="10"/>
      <c r="R22" s="15"/>
      <c r="S22" s="4"/>
      <c r="T22" s="4"/>
      <c r="U22" s="4"/>
      <c r="V22" s="4"/>
      <c r="W22" s="4"/>
      <c r="X22" s="10"/>
      <c r="Y22" s="10"/>
      <c r="Z22" s="15"/>
      <c r="AB22" s="4"/>
      <c r="AD22" s="4"/>
      <c r="AE22" s="4"/>
      <c r="AF22" s="4"/>
      <c r="AG22" s="10"/>
      <c r="AH22" s="7"/>
      <c r="AI22" s="11"/>
    </row>
    <row r="23" spans="1:35" s="3" customFormat="1" ht="14.1" customHeight="1">
      <c r="A23" s="16"/>
      <c r="B23" s="105"/>
      <c r="C23" s="106"/>
      <c r="D23" s="106"/>
      <c r="E23" s="106"/>
      <c r="F23" s="106"/>
      <c r="G23" s="106"/>
      <c r="H23" s="107"/>
      <c r="I23" s="4"/>
      <c r="J23" s="41" t="str">
        <f>IF(J19="nein","abgeholt: in welchem Werk","")</f>
        <v/>
      </c>
      <c r="K23" s="4"/>
      <c r="M23" s="4"/>
      <c r="N23" s="4"/>
      <c r="O23" s="44"/>
      <c r="P23" s="4"/>
      <c r="Q23" s="4"/>
      <c r="R23" s="3" t="str">
        <f>IF(R21="Fixzeit Toleranz 30 Min.","Zeit","")</f>
        <v/>
      </c>
      <c r="S23" s="4"/>
      <c r="U23" s="166"/>
      <c r="V23" s="167"/>
      <c r="W23" s="168"/>
      <c r="X23" s="27"/>
      <c r="Z23" s="29"/>
      <c r="AB23" s="41" t="s">
        <v>11</v>
      </c>
      <c r="AD23" s="4"/>
      <c r="AE23" s="4"/>
      <c r="AF23" s="4"/>
      <c r="AG23" s="4"/>
      <c r="AH23" s="7"/>
      <c r="AI23" s="11"/>
    </row>
    <row r="24" spans="1:35" s="3" customFormat="1" ht="2.1" customHeight="1">
      <c r="A24" s="16"/>
      <c r="B24" s="26"/>
      <c r="C24" s="10"/>
      <c r="D24" s="4"/>
      <c r="E24" s="4"/>
      <c r="F24" s="4"/>
      <c r="G24" s="4"/>
      <c r="H24" s="4"/>
      <c r="I24" s="4"/>
      <c r="J24" s="15"/>
      <c r="K24" s="4"/>
      <c r="L24" s="4"/>
      <c r="M24" s="4"/>
      <c r="N24" s="4"/>
      <c r="O24" s="4"/>
      <c r="P24" s="4"/>
      <c r="Q24" s="4"/>
      <c r="R24" s="15"/>
      <c r="S24" s="4"/>
      <c r="T24" s="4"/>
      <c r="U24" s="4"/>
      <c r="V24" s="4"/>
      <c r="W24" s="4"/>
      <c r="X24" s="4"/>
      <c r="Y24" s="4"/>
      <c r="Z24" s="15"/>
      <c r="AB24" s="4"/>
      <c r="AD24" s="4"/>
      <c r="AE24" s="4"/>
      <c r="AF24" s="4"/>
      <c r="AG24" s="4"/>
      <c r="AH24" s="7"/>
      <c r="AI24" s="11"/>
    </row>
    <row r="25" spans="1:35" s="3" customFormat="1" ht="14.1" customHeight="1">
      <c r="A25" s="16"/>
      <c r="B25" s="105"/>
      <c r="C25" s="106"/>
      <c r="D25" s="106"/>
      <c r="E25" s="106"/>
      <c r="F25" s="106"/>
      <c r="G25" s="106"/>
      <c r="H25" s="107"/>
      <c r="I25" s="4"/>
      <c r="J25" s="144"/>
      <c r="K25" s="145"/>
      <c r="L25" s="145"/>
      <c r="M25" s="145"/>
      <c r="N25" s="145"/>
      <c r="O25" s="145"/>
      <c r="P25" s="146"/>
      <c r="Q25" s="4"/>
      <c r="R25" s="45"/>
      <c r="S25" s="4"/>
      <c r="T25" s="4"/>
      <c r="U25" s="46"/>
      <c r="V25" s="46"/>
      <c r="W25" s="46"/>
      <c r="X25" s="46"/>
      <c r="Y25" s="46"/>
      <c r="Z25" s="29"/>
      <c r="AB25" s="41" t="s">
        <v>22</v>
      </c>
      <c r="AD25" s="43"/>
      <c r="AE25" s="43"/>
      <c r="AF25" s="43"/>
      <c r="AG25" s="43"/>
      <c r="AH25" s="43"/>
      <c r="AI25" s="11"/>
    </row>
    <row r="26" spans="1:35" s="3" customFormat="1" ht="1.7" customHeight="1">
      <c r="A26" s="17"/>
      <c r="B26" s="47"/>
      <c r="C26" s="10"/>
      <c r="D26" s="10"/>
      <c r="E26" s="10"/>
      <c r="F26" s="10"/>
      <c r="G26" s="10"/>
      <c r="H26" s="10"/>
      <c r="I26" s="47"/>
      <c r="J26" s="47"/>
      <c r="K26" s="10"/>
      <c r="L26" s="5"/>
      <c r="M26" s="5"/>
      <c r="N26" s="5"/>
      <c r="O26" s="5"/>
      <c r="P26" s="5"/>
      <c r="Q26" s="5"/>
      <c r="R26" s="47"/>
      <c r="S26" s="47"/>
      <c r="T26" s="10"/>
      <c r="U26" s="5"/>
      <c r="V26" s="5"/>
      <c r="W26" s="5"/>
      <c r="X26" s="5"/>
      <c r="Y26" s="5"/>
      <c r="Z26" s="5"/>
      <c r="AA26" s="5"/>
      <c r="AB26" s="47"/>
      <c r="AC26" s="47"/>
      <c r="AD26" s="10"/>
      <c r="AE26" s="5"/>
      <c r="AF26" s="5"/>
      <c r="AG26" s="5"/>
      <c r="AH26" s="5"/>
      <c r="AI26" s="18"/>
    </row>
    <row r="27" spans="1:35" s="3" customFormat="1" ht="16.5" customHeight="1">
      <c r="A27" s="57" t="s">
        <v>12</v>
      </c>
      <c r="B27" s="58"/>
      <c r="C27" s="58"/>
      <c r="D27" s="58"/>
      <c r="E27" s="58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59"/>
      <c r="R27" s="60" t="s">
        <v>71</v>
      </c>
      <c r="S27" s="59"/>
      <c r="T27" s="59"/>
      <c r="U27" s="59"/>
      <c r="V27" s="59"/>
      <c r="W27" s="108" t="s">
        <v>72</v>
      </c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109"/>
    </row>
    <row r="28" spans="1:35" s="3" customFormat="1" ht="15.95" customHeight="1">
      <c r="A28" s="3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10"/>
      <c r="Q28" s="10"/>
      <c r="R28" s="10"/>
      <c r="S28" s="10"/>
      <c r="T28" s="10"/>
      <c r="U28" s="10"/>
      <c r="V28" s="10"/>
      <c r="X28" s="21" t="s">
        <v>18</v>
      </c>
      <c r="Z28" s="21"/>
      <c r="AA28" s="21"/>
      <c r="AB28" s="21"/>
      <c r="AC28" s="21"/>
      <c r="AD28" s="34" t="s">
        <v>14</v>
      </c>
      <c r="AE28" s="127"/>
      <c r="AF28" s="128"/>
      <c r="AG28" s="128"/>
      <c r="AH28" s="128"/>
      <c r="AI28" s="129"/>
    </row>
    <row r="29" spans="1:35" s="3" customFormat="1" ht="15.95" customHeight="1">
      <c r="A29" s="3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10"/>
      <c r="Q29" s="10"/>
      <c r="R29" s="10"/>
      <c r="S29" s="10"/>
      <c r="T29" s="10"/>
      <c r="U29" s="10"/>
      <c r="V29" s="10"/>
      <c r="W29" s="13"/>
      <c r="Y29" s="21" t="s">
        <v>15</v>
      </c>
      <c r="Z29" s="10"/>
      <c r="AA29" s="10"/>
      <c r="AB29" s="10"/>
      <c r="AC29" s="10"/>
      <c r="AD29" s="25"/>
      <c r="AE29" s="127"/>
      <c r="AF29" s="128"/>
      <c r="AG29" s="128"/>
      <c r="AH29" s="128"/>
      <c r="AI29" s="129"/>
    </row>
    <row r="30" spans="1:35" s="3" customFormat="1" ht="15.95" customHeight="1">
      <c r="A30" s="3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3"/>
      <c r="Q30" s="30"/>
      <c r="R30" s="30"/>
      <c r="S30" s="30"/>
      <c r="T30" s="30"/>
      <c r="U30" s="30"/>
      <c r="V30" s="30"/>
      <c r="W30" s="13"/>
      <c r="Y30" s="21" t="s">
        <v>69</v>
      </c>
      <c r="Z30" s="13"/>
      <c r="AA30" s="30"/>
      <c r="AB30" s="30"/>
      <c r="AC30" s="30"/>
      <c r="AD30" s="25"/>
      <c r="AE30" s="132" t="str">
        <f>IF(AE28="","",SUM((AE28-AE29))*1000)</f>
        <v/>
      </c>
      <c r="AF30" s="133"/>
      <c r="AG30" s="133"/>
      <c r="AH30" s="133"/>
      <c r="AI30" s="134"/>
    </row>
    <row r="31" spans="1:35" s="3" customFormat="1" ht="15.95" customHeight="1">
      <c r="A31" s="3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3"/>
      <c r="X31" s="25"/>
      <c r="Y31" s="21" t="s">
        <v>53</v>
      </c>
      <c r="Z31" s="21"/>
      <c r="AA31" s="21"/>
      <c r="AB31" s="21"/>
      <c r="AC31" s="21"/>
      <c r="AD31" s="40" t="s">
        <v>13</v>
      </c>
      <c r="AE31" s="81"/>
      <c r="AF31" s="82"/>
      <c r="AG31" s="82"/>
      <c r="AH31" s="82"/>
      <c r="AI31" s="35"/>
    </row>
    <row r="32" spans="1:35" s="3" customFormat="1" ht="15.95" customHeight="1">
      <c r="A32" s="3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3"/>
      <c r="X32" s="21"/>
      <c r="Y32" s="21" t="s">
        <v>55</v>
      </c>
      <c r="AC32" s="20"/>
      <c r="AD32" s="25" t="s">
        <v>17</v>
      </c>
      <c r="AE32" s="81"/>
      <c r="AF32" s="82"/>
      <c r="AG32" s="82"/>
      <c r="AH32" s="82"/>
      <c r="AI32" s="36"/>
    </row>
    <row r="33" spans="1:35" s="3" customFormat="1" ht="15.95" customHeight="1">
      <c r="A33" s="3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3"/>
      <c r="X33" s="25"/>
      <c r="Y33" s="21" t="str">
        <f>IF(AE30="","",IF(AE30&gt;4999,"Ruhepodest?",""))</f>
        <v/>
      </c>
      <c r="AB33" s="21"/>
      <c r="AD33" s="25" t="s">
        <v>17</v>
      </c>
      <c r="AE33" s="81"/>
      <c r="AF33" s="82"/>
      <c r="AG33" s="82"/>
      <c r="AH33" s="82"/>
      <c r="AI33" s="36"/>
    </row>
    <row r="34" spans="1:35" s="3" customFormat="1" ht="15.95" customHeight="1">
      <c r="A34" s="3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13"/>
      <c r="X34" s="25"/>
      <c r="Y34" s="21" t="s">
        <v>55</v>
      </c>
      <c r="AC34" s="20"/>
      <c r="AD34" s="25" t="s">
        <v>17</v>
      </c>
      <c r="AE34" s="81"/>
      <c r="AF34" s="82"/>
      <c r="AG34" s="82"/>
      <c r="AH34" s="82"/>
      <c r="AI34" s="36"/>
    </row>
    <row r="35" spans="1:35" s="3" customFormat="1" ht="15.95" customHeight="1">
      <c r="A35" s="3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13"/>
      <c r="X35" s="25"/>
      <c r="Y35" s="21" t="s">
        <v>92</v>
      </c>
      <c r="AB35" s="21"/>
      <c r="AD35" s="25" t="s">
        <v>59</v>
      </c>
      <c r="AE35" s="83"/>
      <c r="AF35" s="83"/>
      <c r="AG35" s="83"/>
      <c r="AH35" s="83"/>
      <c r="AI35" s="36"/>
    </row>
    <row r="36" spans="1:35" s="3" customFormat="1" ht="15.95" customHeight="1">
      <c r="A36" s="3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13"/>
      <c r="X36" s="21"/>
      <c r="Y36" s="21" t="s">
        <v>98</v>
      </c>
      <c r="Z36" s="21"/>
      <c r="AA36" s="21"/>
      <c r="AB36" s="21"/>
      <c r="AC36" s="30"/>
      <c r="AD36" s="25" t="s">
        <v>59</v>
      </c>
      <c r="AE36" s="83"/>
      <c r="AF36" s="83"/>
      <c r="AG36" s="83"/>
      <c r="AH36" s="83"/>
      <c r="AI36" s="36"/>
    </row>
    <row r="37" spans="1:35" s="3" customFormat="1" ht="15.95" customHeight="1">
      <c r="A37" s="3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13"/>
      <c r="X37" s="25"/>
      <c r="Y37" s="21" t="s">
        <v>73</v>
      </c>
      <c r="Z37" s="61"/>
      <c r="AA37" s="61"/>
      <c r="AB37" s="61"/>
      <c r="AC37" s="20"/>
      <c r="AD37" s="25" t="s">
        <v>59</v>
      </c>
      <c r="AE37" s="135"/>
      <c r="AF37" s="135"/>
      <c r="AG37" s="135"/>
      <c r="AH37" s="135"/>
      <c r="AI37" s="62"/>
    </row>
    <row r="38" spans="1:35" s="3" customFormat="1" ht="15.95" customHeight="1">
      <c r="A38" s="3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3"/>
      <c r="X38" s="21"/>
      <c r="Y38" s="21" t="s">
        <v>54</v>
      </c>
      <c r="Z38" s="30"/>
      <c r="AA38" s="30"/>
      <c r="AB38" s="30"/>
      <c r="AC38" s="30"/>
      <c r="AD38" s="25" t="s">
        <v>56</v>
      </c>
      <c r="AE38" s="131" t="str">
        <f>IF(SUM($AE$31:$AH$37)=0,"",(SUM(AE31+AE32+AE33+AE34+AE35+AE36+AE37)))</f>
        <v/>
      </c>
      <c r="AF38" s="114"/>
      <c r="AG38" s="114"/>
      <c r="AH38" s="114"/>
      <c r="AI38" s="37"/>
    </row>
    <row r="39" spans="1:35" s="3" customFormat="1" ht="15.75" customHeight="1">
      <c r="A39" s="3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3"/>
      <c r="X39" s="25"/>
      <c r="Y39" s="21" t="s">
        <v>57</v>
      </c>
      <c r="Z39" s="30"/>
      <c r="AA39" s="30"/>
      <c r="AB39" s="30"/>
      <c r="AC39" s="30"/>
      <c r="AD39" s="25" t="s">
        <v>58</v>
      </c>
      <c r="AE39" s="130" t="str">
        <f>IF($AE$30="","",$AE$30-$AE$38)</f>
        <v/>
      </c>
      <c r="AF39" s="114"/>
      <c r="AG39" s="114"/>
      <c r="AH39" s="114"/>
      <c r="AI39" s="38"/>
    </row>
    <row r="40" spans="1:35" s="3" customFormat="1" ht="15.75" customHeight="1">
      <c r="A40" s="3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3"/>
      <c r="X40" s="25"/>
      <c r="Y40" s="21" t="s">
        <v>54</v>
      </c>
      <c r="Z40" s="30"/>
      <c r="AA40" s="30"/>
      <c r="AB40" s="30"/>
      <c r="AC40" s="30"/>
      <c r="AD40" s="25" t="s">
        <v>16</v>
      </c>
      <c r="AE40" s="84" t="str">
        <f>IF(AE38="","",AE38+AE39+C43)</f>
        <v/>
      </c>
      <c r="AF40" s="85"/>
      <c r="AG40" s="85"/>
      <c r="AH40" s="85"/>
      <c r="AI40" s="56"/>
    </row>
    <row r="41" spans="1:35" s="3" customFormat="1" ht="13.5" customHeight="1">
      <c r="A41" s="3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3"/>
      <c r="X41" s="30" t="s">
        <v>74</v>
      </c>
      <c r="Y41" s="30"/>
      <c r="Z41" s="30"/>
      <c r="AD41" s="30" t="s">
        <v>75</v>
      </c>
      <c r="AI41" s="63"/>
    </row>
    <row r="42" spans="1:35" s="3" customFormat="1" ht="2.1" customHeight="1">
      <c r="A42" s="3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21"/>
      <c r="X42" s="30"/>
      <c r="Y42" s="30"/>
      <c r="Z42" s="30"/>
      <c r="AA42" s="30"/>
      <c r="AB42" s="30"/>
      <c r="AC42" s="30"/>
      <c r="AD42" s="13"/>
      <c r="AE42" s="13"/>
      <c r="AF42" s="13"/>
      <c r="AG42" s="13"/>
      <c r="AH42" s="13"/>
      <c r="AI42" s="63"/>
    </row>
    <row r="43" spans="1:35" s="3" customFormat="1" ht="13.5" customHeight="1">
      <c r="A43" s="39"/>
      <c r="B43" s="42" t="s">
        <v>61</v>
      </c>
      <c r="C43" s="111">
        <v>150</v>
      </c>
      <c r="D43" s="111"/>
      <c r="E43" s="30" t="s">
        <v>62</v>
      </c>
      <c r="F43" s="30"/>
      <c r="G43" s="30"/>
      <c r="H43" s="30"/>
      <c r="I43" s="64"/>
      <c r="K43" s="30"/>
      <c r="L43" s="30"/>
      <c r="M43" s="30"/>
      <c r="N43" s="30"/>
      <c r="O43" s="30"/>
      <c r="Q43" s="30"/>
      <c r="R43" s="30"/>
      <c r="S43" s="30"/>
      <c r="T43" s="30"/>
      <c r="U43" s="30"/>
      <c r="V43" s="30"/>
      <c r="W43" s="13"/>
      <c r="X43" s="65" t="s">
        <v>76</v>
      </c>
      <c r="Y43" s="42" t="s">
        <v>77</v>
      </c>
      <c r="Z43" s="42"/>
      <c r="AA43" s="30"/>
      <c r="AB43" s="30"/>
      <c r="AC43" s="30"/>
      <c r="AD43" s="29"/>
      <c r="AE43" s="30" t="s">
        <v>78</v>
      </c>
      <c r="AF43" s="30"/>
      <c r="AG43" s="30"/>
      <c r="AH43" s="30"/>
      <c r="AI43" s="63"/>
    </row>
    <row r="44" spans="1:35" s="3" customFormat="1" ht="1.5" customHeight="1">
      <c r="A44" s="3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3"/>
      <c r="X44" s="21"/>
      <c r="Y44" s="30"/>
      <c r="Z44" s="66"/>
      <c r="AA44" s="30"/>
      <c r="AB44" s="30"/>
      <c r="AC44" s="30"/>
      <c r="AD44" s="13"/>
      <c r="AE44" s="13"/>
      <c r="AF44" s="13"/>
      <c r="AG44" s="13"/>
      <c r="AH44" s="13"/>
      <c r="AI44" s="63"/>
    </row>
    <row r="45" spans="1:35" s="3" customFormat="1" ht="13.5" customHeight="1">
      <c r="A45" s="3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3"/>
      <c r="X45" s="30" t="s">
        <v>19</v>
      </c>
      <c r="Y45" s="30"/>
      <c r="Z45" s="66"/>
      <c r="AA45" s="30"/>
      <c r="AB45" s="30"/>
      <c r="AC45" s="30"/>
      <c r="AD45" s="29"/>
      <c r="AE45" s="30" t="s">
        <v>79</v>
      </c>
      <c r="AF45" s="30"/>
      <c r="AG45" s="30"/>
      <c r="AH45" s="30"/>
      <c r="AI45" s="67"/>
    </row>
    <row r="46" spans="1:35" s="3" customFormat="1" ht="2.1" customHeight="1">
      <c r="A46" s="3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13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67"/>
    </row>
    <row r="47" spans="1:35" s="3" customFormat="1" ht="13.5" customHeight="1">
      <c r="A47" s="39"/>
      <c r="B47" s="13" t="s">
        <v>80</v>
      </c>
      <c r="C47" s="30"/>
      <c r="D47" s="30"/>
      <c r="E47" s="30"/>
      <c r="F47" s="30"/>
      <c r="G47" s="30" t="s">
        <v>81</v>
      </c>
      <c r="I47" s="13"/>
      <c r="K47" s="30"/>
      <c r="M47" s="30" t="s">
        <v>82</v>
      </c>
      <c r="N47" s="30"/>
      <c r="O47" s="30"/>
      <c r="P47" s="13"/>
      <c r="R47" s="30" t="s">
        <v>83</v>
      </c>
      <c r="S47" s="30"/>
      <c r="T47" s="30"/>
      <c r="U47" s="30"/>
      <c r="V47" s="30"/>
      <c r="W47" s="68" t="s">
        <v>52</v>
      </c>
      <c r="Y47" s="30"/>
      <c r="Z47" s="30"/>
      <c r="AA47" s="30"/>
      <c r="AB47" s="30"/>
      <c r="AC47" s="30"/>
      <c r="AD47" s="30" t="s">
        <v>75</v>
      </c>
      <c r="AE47" s="30"/>
      <c r="AF47" s="30"/>
      <c r="AG47" s="30"/>
      <c r="AH47" s="30"/>
      <c r="AI47" s="67"/>
    </row>
    <row r="48" spans="1:35" s="3" customFormat="1" ht="2.1" customHeight="1">
      <c r="A48" s="3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3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67"/>
    </row>
    <row r="49" spans="1:35" s="3" customFormat="1" ht="13.5" customHeight="1">
      <c r="A49" s="39"/>
      <c r="B49" s="29"/>
      <c r="C49" s="30" t="s">
        <v>84</v>
      </c>
      <c r="D49" s="30"/>
      <c r="E49" s="30"/>
      <c r="F49" s="30"/>
      <c r="G49" s="25" t="s">
        <v>85</v>
      </c>
      <c r="H49" s="95" t="str">
        <f>IF($B$49="","",IF($L$60=180,"Unendlich",IF($L$60="","",53148*(SQRT(($L$60-180)^2))^-1.002)))</f>
        <v/>
      </c>
      <c r="I49" s="95"/>
      <c r="J49" s="95"/>
      <c r="K49" s="30" t="s">
        <v>62</v>
      </c>
      <c r="L49" s="30"/>
      <c r="M49" s="52" t="s">
        <v>86</v>
      </c>
      <c r="N49" s="96" t="str">
        <f>IF($B$49="","",IF($L$60="","",IF(SQRT(($L$60-180)^2)&lt;2,463.5+108,TAN(RADIANS(SQRT(($L$60-180)^2))/2)*(53148*(SQRT(($L$60-180)^2)^-1.002))+108)))</f>
        <v/>
      </c>
      <c r="O49" s="96"/>
      <c r="P49" s="30" t="s">
        <v>62</v>
      </c>
      <c r="Q49" s="30"/>
      <c r="R49" s="52" t="s">
        <v>87</v>
      </c>
      <c r="S49" s="96" t="str">
        <f>IF($B$49="","",IF($L$60="","",IF($L$60=180,0,(53148*(SQRT(($L$60-180)^2)^-1.002))/(COS(RADIANS(SQRT(($L$60-180)^2)/2)))-(53148*(SQRT(($L$60-180)^2)^-1.002)))))</f>
        <v/>
      </c>
      <c r="T49" s="96"/>
      <c r="U49" s="30" t="s">
        <v>62</v>
      </c>
      <c r="V49" s="30"/>
      <c r="W49" s="13"/>
      <c r="X49" s="29"/>
      <c r="Y49" s="30" t="s">
        <v>20</v>
      </c>
      <c r="Z49" s="30"/>
      <c r="AA49" s="30"/>
      <c r="AB49" s="30"/>
      <c r="AC49" s="30"/>
      <c r="AD49" s="29"/>
      <c r="AE49" s="30" t="s">
        <v>88</v>
      </c>
      <c r="AF49" s="30"/>
      <c r="AG49" s="30"/>
      <c r="AH49" s="30"/>
      <c r="AI49" s="67"/>
    </row>
    <row r="50" spans="1:35" s="3" customFormat="1" ht="2.1" customHeight="1">
      <c r="A50" s="39"/>
      <c r="B50" s="30"/>
      <c r="C50" s="30"/>
      <c r="D50" s="30"/>
      <c r="E50" s="30"/>
      <c r="F50" s="30"/>
      <c r="G50" s="30"/>
      <c r="H50" s="69"/>
      <c r="I50" s="69"/>
      <c r="J50" s="69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13"/>
      <c r="X50" s="7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67"/>
    </row>
    <row r="51" spans="1:35" s="3" customFormat="1" ht="13.5" customHeight="1">
      <c r="A51" s="39"/>
      <c r="B51" s="29"/>
      <c r="C51" s="30" t="s">
        <v>89</v>
      </c>
      <c r="D51" s="30"/>
      <c r="E51" s="30"/>
      <c r="F51" s="30"/>
      <c r="G51" s="25" t="s">
        <v>85</v>
      </c>
      <c r="H51" s="95" t="str">
        <f xml:space="preserve"> IF($B$51="","",IF($L$60=180,"Unendlich",IF($L$60="","",41104*(SQRT(($L$60-180)^2))^-0.99)))</f>
        <v/>
      </c>
      <c r="I51" s="95"/>
      <c r="J51" s="95"/>
      <c r="K51" s="30" t="s">
        <v>62</v>
      </c>
      <c r="L51" s="30"/>
      <c r="M51" s="52" t="s">
        <v>86</v>
      </c>
      <c r="N51" s="96" t="str">
        <f>IF($B$51="","",IF($L$60="","",IF(SQRT(($L$60-180)^2)&lt;4,363.5+108,TAN(RADIANS(SQRT(($L$60-180)^2))/2)*(41104*(SQRT(($L$60-180)^2)^-0.99))+108)))</f>
        <v/>
      </c>
      <c r="O51" s="96"/>
      <c r="P51" s="30" t="s">
        <v>62</v>
      </c>
      <c r="Q51" s="30"/>
      <c r="R51" s="52" t="s">
        <v>87</v>
      </c>
      <c r="S51" s="96" t="str">
        <f>IF($B$51="","",IF($L$60="","",IF($L$60=180,0,(41104*(SQRT(($L$60-180)^2)^-0.99))/(COS(RADIANS(SQRT(($L$60-180)^2)/2)))-(41104*(SQRT(($L$60-180)^2)^-0.99)))))</f>
        <v/>
      </c>
      <c r="T51" s="96"/>
      <c r="U51" s="30" t="s">
        <v>62</v>
      </c>
      <c r="V51" s="30"/>
      <c r="W51" s="13"/>
      <c r="X51" s="29"/>
      <c r="Y51" s="30" t="s">
        <v>21</v>
      </c>
      <c r="Z51" s="30"/>
      <c r="AA51" s="30"/>
      <c r="AB51" s="30"/>
      <c r="AC51" s="30"/>
      <c r="AD51" s="29"/>
      <c r="AE51" s="30" t="s">
        <v>90</v>
      </c>
      <c r="AF51" s="30"/>
      <c r="AG51" s="30"/>
      <c r="AH51" s="30"/>
      <c r="AI51" s="67"/>
    </row>
    <row r="52" spans="1:35" s="3" customFormat="1" ht="6" customHeight="1">
      <c r="A52" s="39"/>
      <c r="B52" s="30"/>
      <c r="C52" s="30"/>
      <c r="D52" s="30"/>
      <c r="E52" s="30"/>
      <c r="F52" s="30"/>
      <c r="G52" s="30"/>
      <c r="H52" s="71"/>
      <c r="I52" s="71"/>
      <c r="J52" s="7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67"/>
    </row>
    <row r="53" spans="1:35" s="3" customFormat="1" ht="3.6" customHeight="1">
      <c r="A53" s="72"/>
      <c r="B53" s="73"/>
      <c r="C53" s="73"/>
      <c r="D53" s="73"/>
      <c r="E53" s="73"/>
      <c r="F53" s="73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74"/>
    </row>
    <row r="54" spans="1:35" s="3" customFormat="1" ht="17.25" customHeight="1">
      <c r="A54" s="39" t="s">
        <v>23</v>
      </c>
      <c r="B54" s="30"/>
      <c r="C54" s="30"/>
      <c r="D54" s="30"/>
      <c r="E54" s="30"/>
      <c r="F54" s="30"/>
      <c r="G54" s="92" t="s">
        <v>29</v>
      </c>
      <c r="H54" s="92"/>
      <c r="I54" s="92"/>
      <c r="J54" s="92"/>
      <c r="K54" s="58"/>
      <c r="L54" s="92" t="s">
        <v>93</v>
      </c>
      <c r="M54" s="92"/>
      <c r="N54" s="92"/>
      <c r="O54" s="92"/>
      <c r="P54" s="58"/>
      <c r="Q54" s="92" t="s">
        <v>94</v>
      </c>
      <c r="R54" s="92"/>
      <c r="S54" s="92"/>
      <c r="T54" s="92"/>
      <c r="U54" s="58"/>
      <c r="V54" s="92" t="s">
        <v>95</v>
      </c>
      <c r="W54" s="92"/>
      <c r="X54" s="92"/>
      <c r="Y54" s="92"/>
      <c r="Z54" s="58"/>
      <c r="AA54" s="92" t="s">
        <v>96</v>
      </c>
      <c r="AB54" s="92"/>
      <c r="AC54" s="92"/>
      <c r="AD54" s="92"/>
      <c r="AE54" s="58"/>
      <c r="AF54" s="92" t="s">
        <v>97</v>
      </c>
      <c r="AG54" s="92"/>
      <c r="AH54" s="92"/>
      <c r="AI54" s="93"/>
    </row>
    <row r="55" spans="1:35" s="3" customFormat="1" ht="17.25" customHeight="1">
      <c r="A55" s="39" t="s">
        <v>24</v>
      </c>
      <c r="B55" s="30"/>
      <c r="C55" s="30"/>
      <c r="D55" s="30"/>
      <c r="E55" s="30"/>
      <c r="F55" s="30"/>
      <c r="G55" s="91"/>
      <c r="H55" s="91"/>
      <c r="I55" s="91"/>
      <c r="J55" s="91"/>
      <c r="K55" s="26"/>
      <c r="L55" s="91"/>
      <c r="M55" s="91"/>
      <c r="N55" s="91"/>
      <c r="O55" s="91"/>
      <c r="P55" s="26"/>
      <c r="Q55" s="91"/>
      <c r="R55" s="91"/>
      <c r="S55" s="91"/>
      <c r="T55" s="91"/>
      <c r="U55" s="26"/>
      <c r="V55" s="91"/>
      <c r="W55" s="91"/>
      <c r="X55" s="91"/>
      <c r="Y55" s="91"/>
      <c r="Z55" s="26"/>
      <c r="AA55" s="91"/>
      <c r="AB55" s="91"/>
      <c r="AC55" s="91"/>
      <c r="AD55" s="91"/>
      <c r="AE55" s="26"/>
      <c r="AF55" s="91"/>
      <c r="AG55" s="91"/>
      <c r="AH55" s="91"/>
      <c r="AI55" s="94"/>
    </row>
    <row r="56" spans="1:35" s="3" customFormat="1" ht="17.25" customHeight="1">
      <c r="A56" s="39" t="s">
        <v>25</v>
      </c>
      <c r="B56" s="30"/>
      <c r="C56" s="30"/>
      <c r="D56" s="30"/>
      <c r="E56" s="30"/>
      <c r="F56" s="30"/>
      <c r="G56" s="91"/>
      <c r="H56" s="91"/>
      <c r="I56" s="91"/>
      <c r="J56" s="91"/>
      <c r="K56" s="26"/>
      <c r="L56" s="91"/>
      <c r="M56" s="91"/>
      <c r="N56" s="91"/>
      <c r="O56" s="91"/>
      <c r="P56" s="26"/>
      <c r="Q56" s="91"/>
      <c r="R56" s="91"/>
      <c r="S56" s="91"/>
      <c r="T56" s="91"/>
      <c r="U56" s="26"/>
      <c r="V56" s="91"/>
      <c r="W56" s="91"/>
      <c r="X56" s="91"/>
      <c r="Y56" s="91"/>
      <c r="Z56" s="26"/>
      <c r="AA56" s="91"/>
      <c r="AB56" s="91"/>
      <c r="AC56" s="91"/>
      <c r="AD56" s="91"/>
      <c r="AE56" s="26"/>
      <c r="AF56" s="91"/>
      <c r="AG56" s="91"/>
      <c r="AH56" s="91"/>
      <c r="AI56" s="94"/>
    </row>
    <row r="57" spans="1:35" s="3" customFormat="1" ht="17.25" customHeight="1">
      <c r="A57" s="39" t="s">
        <v>26</v>
      </c>
      <c r="B57" s="30"/>
      <c r="C57" s="30"/>
      <c r="D57" s="30"/>
      <c r="E57" s="30"/>
      <c r="F57" s="30"/>
      <c r="G57" s="89"/>
      <c r="H57" s="89"/>
      <c r="I57" s="89"/>
      <c r="J57" s="89"/>
      <c r="K57" s="26"/>
      <c r="L57" s="89"/>
      <c r="M57" s="89"/>
      <c r="N57" s="89"/>
      <c r="O57" s="89"/>
      <c r="P57" s="26"/>
      <c r="Q57" s="89"/>
      <c r="R57" s="89"/>
      <c r="S57" s="89"/>
      <c r="T57" s="89"/>
      <c r="U57" s="26"/>
      <c r="V57" s="89"/>
      <c r="W57" s="89"/>
      <c r="X57" s="89"/>
      <c r="Y57" s="89"/>
      <c r="Z57" s="26"/>
      <c r="AA57" s="89"/>
      <c r="AB57" s="89"/>
      <c r="AC57" s="89"/>
      <c r="AD57" s="89"/>
      <c r="AE57" s="26"/>
      <c r="AF57" s="89"/>
      <c r="AG57" s="89"/>
      <c r="AH57" s="89"/>
      <c r="AI57" s="90"/>
    </row>
    <row r="58" spans="1:35" s="3" customFormat="1" ht="17.25" customHeight="1">
      <c r="A58" s="39" t="s">
        <v>27</v>
      </c>
      <c r="B58" s="30"/>
      <c r="C58" s="30"/>
      <c r="D58" s="30"/>
      <c r="E58" s="30"/>
      <c r="F58" s="30"/>
      <c r="G58" s="86"/>
      <c r="H58" s="86"/>
      <c r="I58" s="86"/>
      <c r="J58" s="86"/>
      <c r="K58" s="28"/>
      <c r="L58" s="86"/>
      <c r="M58" s="86"/>
      <c r="N58" s="86"/>
      <c r="O58" s="86"/>
      <c r="P58" s="28"/>
      <c r="Q58" s="86"/>
      <c r="R58" s="86"/>
      <c r="S58" s="86"/>
      <c r="T58" s="86"/>
      <c r="U58" s="28"/>
      <c r="V58" s="86"/>
      <c r="W58" s="86"/>
      <c r="X58" s="86"/>
      <c r="Y58" s="86"/>
      <c r="Z58" s="28"/>
      <c r="AA58" s="80"/>
      <c r="AB58" s="80"/>
      <c r="AC58" s="80"/>
      <c r="AD58" s="80"/>
      <c r="AE58" s="28"/>
      <c r="AF58" s="86"/>
      <c r="AG58" s="86"/>
      <c r="AH58" s="86"/>
      <c r="AI58" s="87"/>
    </row>
    <row r="59" spans="1:35" s="3" customFormat="1" ht="17.25" customHeight="1">
      <c r="A59" s="39" t="s">
        <v>28</v>
      </c>
      <c r="B59" s="30"/>
      <c r="C59" s="30"/>
      <c r="D59" s="30"/>
      <c r="E59" s="30"/>
      <c r="F59" s="30"/>
      <c r="G59" s="88" t="str">
        <f>IF(AE29="","",AE29)</f>
        <v/>
      </c>
      <c r="H59" s="88"/>
      <c r="I59" s="88"/>
      <c r="J59" s="88"/>
      <c r="K59" s="28"/>
      <c r="L59" s="86"/>
      <c r="M59" s="86"/>
      <c r="N59" s="86"/>
      <c r="O59" s="86"/>
      <c r="P59" s="28"/>
      <c r="Q59" s="86"/>
      <c r="R59" s="86"/>
      <c r="S59" s="86"/>
      <c r="T59" s="86"/>
      <c r="U59" s="28"/>
      <c r="V59" s="86"/>
      <c r="W59" s="86"/>
      <c r="X59" s="86"/>
      <c r="Y59" s="86"/>
      <c r="Z59" s="28"/>
      <c r="AA59" s="80"/>
      <c r="AB59" s="80"/>
      <c r="AC59" s="80"/>
      <c r="AD59" s="80"/>
      <c r="AE59" s="28"/>
      <c r="AF59" s="86"/>
      <c r="AG59" s="86"/>
      <c r="AH59" s="86"/>
      <c r="AI59" s="87"/>
    </row>
    <row r="60" spans="1:35" s="3" customFormat="1" ht="17.25" customHeight="1">
      <c r="A60" s="39" t="s">
        <v>91</v>
      </c>
      <c r="B60" s="30"/>
      <c r="C60" s="30"/>
      <c r="D60" s="30"/>
      <c r="E60" s="30"/>
      <c r="F60" s="30"/>
      <c r="G60" s="26"/>
      <c r="H60" s="26"/>
      <c r="I60" s="26"/>
      <c r="J60" s="26"/>
      <c r="K60" s="26"/>
      <c r="L60" s="80"/>
      <c r="M60" s="80"/>
      <c r="N60" s="80"/>
      <c r="O60" s="80"/>
      <c r="P60" s="28"/>
      <c r="Q60" s="80"/>
      <c r="R60" s="80"/>
      <c r="S60" s="80"/>
      <c r="T60" s="80"/>
      <c r="U60" s="28"/>
      <c r="V60" s="80"/>
      <c r="W60" s="80"/>
      <c r="X60" s="80"/>
      <c r="Y60" s="80"/>
      <c r="Z60" s="28"/>
      <c r="AA60" s="80"/>
      <c r="AB60" s="80"/>
      <c r="AC60" s="80"/>
      <c r="AD60" s="80"/>
      <c r="AE60" s="28"/>
      <c r="AF60" s="80"/>
      <c r="AG60" s="80"/>
      <c r="AH60" s="80"/>
      <c r="AI60" s="80"/>
    </row>
    <row r="61" spans="1:35" s="3" customFormat="1" ht="3.6" customHeight="1">
      <c r="A61" s="3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66">
        <f>IF(X43="X",L60,"")</f>
        <v>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67"/>
    </row>
    <row r="62" spans="1:35" s="6" customFormat="1" ht="2.1" customHeight="1">
      <c r="A62" s="140"/>
      <c r="B62" s="141"/>
      <c r="C62" s="141"/>
      <c r="D62" s="141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4"/>
    </row>
    <row r="63" spans="1:35" s="6" customFormat="1" ht="16.899999999999999" customHeight="1">
      <c r="A63" s="75" t="s">
        <v>30</v>
      </c>
      <c r="B63" s="76"/>
      <c r="C63" s="76"/>
      <c r="D63" s="76"/>
      <c r="E63" s="76"/>
      <c r="F63" s="7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9"/>
    </row>
    <row r="64" spans="1:35" s="6" customFormat="1" ht="16.899999999999999" customHeight="1">
      <c r="A64" s="22"/>
      <c r="B64" s="23"/>
      <c r="C64" s="23"/>
      <c r="D64" s="23"/>
      <c r="E64" s="23"/>
      <c r="F64" s="77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9"/>
    </row>
    <row r="65" spans="1:35">
      <c r="A65" s="25" t="s">
        <v>70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F66" s="25"/>
      <c r="AG66" s="5"/>
      <c r="AH66" s="5"/>
      <c r="AI66" s="5"/>
    </row>
  </sheetData>
  <sheetProtection algorithmName="SHA-512" hashValue="Nn08F5gSNq9exd3BnziDDXvM52uiIJhBgfVo3PWOw7YbmMvVXPaCVkMlveg7l3PfxWhvBcQYZILzzLkucQpNaA==" saltValue="DFlNH/vzUXpGod3z6ThEKQ==" spinCount="100000" sheet="1" objects="1" scenarios="1"/>
  <protectedRanges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X17:AI17" name="Bereich32"/>
    <protectedRange sqref="L60:O60" name="Bereich21_1"/>
    <protectedRange sqref="AE31:AI31 AE36:AI36 AE35:AH35" name="Bereich13_10"/>
    <protectedRange sqref="AE28:AI29" name="Bereich12_9_2"/>
    <protectedRange sqref="AB27:AI27" name="Bereich31_1"/>
    <protectedRange sqref="AF58:AI60" name="Bereich25_1"/>
    <protectedRange sqref="V58:Y60" name="Bereich23_1"/>
    <protectedRange sqref="L58:O59" name="Bereich21_2"/>
    <protectedRange sqref="G58:J58" name="Bereich18_1"/>
    <protectedRange sqref="AD49 AD51" name="Bereich16_1"/>
    <protectedRange sqref="AD45 AD43" name="Bereich15_1"/>
    <protectedRange sqref="X51" name="Bereich14_1"/>
    <protectedRange sqref="X49 B49 B51" name="Bereich13_1"/>
    <protectedRange sqref="AE37:AI37" name="Bereich10_1"/>
    <protectedRange sqref="Q58:T60" name="Bereich22_1"/>
    <protectedRange sqref="AA58:AD60" name="Bereich24_1"/>
    <protectedRange sqref="F27:P27" name="Bereich30_1"/>
    <protectedRange sqref="G56:J57 L56:O57 Q56:T57 V56:Y57 AA56:AD57 AF56:AI57" name="Bereich32_1"/>
    <protectedRange sqref="AE32:AH34" name="Bereich22_2"/>
    <protectedRange sqref="AA55:AD55" name="Bereich29_1"/>
    <protectedRange sqref="Q55:T55" name="Bereich27_1"/>
    <protectedRange sqref="G55:J55" name="Bereich25_2"/>
    <protectedRange sqref="L55:O55" name="Bereich26_1"/>
    <protectedRange sqref="V55:Y55" name="Bereich28_1"/>
    <protectedRange sqref="AF55:AI55" name="Bereich30_2"/>
    <protectedRange sqref="F63:AI64" name="Bereich31_2"/>
  </protectedRanges>
  <dataConsolidate/>
  <mergeCells count="105">
    <mergeCell ref="R6:AI7"/>
    <mergeCell ref="AE32:AH32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R19:Y19"/>
    <mergeCell ref="R21:W21"/>
    <mergeCell ref="U23:W23"/>
    <mergeCell ref="E14:P14"/>
    <mergeCell ref="A15:F15"/>
    <mergeCell ref="A62:D62"/>
    <mergeCell ref="Q54:T54"/>
    <mergeCell ref="Q55:T55"/>
    <mergeCell ref="L54:O54"/>
    <mergeCell ref="L55:O55"/>
    <mergeCell ref="Q56:T56"/>
    <mergeCell ref="L56:O56"/>
    <mergeCell ref="G54:J54"/>
    <mergeCell ref="G55:J55"/>
    <mergeCell ref="G58:J58"/>
    <mergeCell ref="L58:O58"/>
    <mergeCell ref="Q58:T58"/>
    <mergeCell ref="R15:W15"/>
    <mergeCell ref="J8:P8"/>
    <mergeCell ref="R8:Z8"/>
    <mergeCell ref="AA8:AC8"/>
    <mergeCell ref="AD8:AI8"/>
    <mergeCell ref="B17:P17"/>
    <mergeCell ref="R17:W17"/>
    <mergeCell ref="AE29:AI29"/>
    <mergeCell ref="AE39:AH39"/>
    <mergeCell ref="AE38:AH38"/>
    <mergeCell ref="AE28:AI28"/>
    <mergeCell ref="AE30:AI30"/>
    <mergeCell ref="AE31:AH31"/>
    <mergeCell ref="AE33:AH33"/>
    <mergeCell ref="AE36:AH36"/>
    <mergeCell ref="AE37:AH37"/>
    <mergeCell ref="E13:P13"/>
    <mergeCell ref="A13:D13"/>
    <mergeCell ref="A14:D14"/>
    <mergeCell ref="R14:U14"/>
    <mergeCell ref="V13:AI13"/>
    <mergeCell ref="G57:J57"/>
    <mergeCell ref="L57:O57"/>
    <mergeCell ref="Q57:T57"/>
    <mergeCell ref="V57:Y57"/>
    <mergeCell ref="AA57:AD57"/>
    <mergeCell ref="V14:AI14"/>
    <mergeCell ref="R13:U13"/>
    <mergeCell ref="G15:P15"/>
    <mergeCell ref="X15:AI15"/>
    <mergeCell ref="B23:H23"/>
    <mergeCell ref="W27:AI27"/>
    <mergeCell ref="H49:J49"/>
    <mergeCell ref="N49:O49"/>
    <mergeCell ref="S49:T49"/>
    <mergeCell ref="F27:P27"/>
    <mergeCell ref="C43:D43"/>
    <mergeCell ref="B25:H25"/>
    <mergeCell ref="J19:K19"/>
    <mergeCell ref="J25:P25"/>
    <mergeCell ref="J21:K21"/>
    <mergeCell ref="X17:AH17"/>
    <mergeCell ref="AA54:AD54"/>
    <mergeCell ref="AA55:AD55"/>
    <mergeCell ref="V54:Y54"/>
    <mergeCell ref="V55:Y55"/>
    <mergeCell ref="V56:Y56"/>
    <mergeCell ref="H51:J51"/>
    <mergeCell ref="N51:O51"/>
    <mergeCell ref="S51:T51"/>
    <mergeCell ref="G56:J56"/>
    <mergeCell ref="F63:AI63"/>
    <mergeCell ref="F64:AI64"/>
    <mergeCell ref="L60:O60"/>
    <mergeCell ref="Q60:T60"/>
    <mergeCell ref="V60:Y60"/>
    <mergeCell ref="AA60:AD60"/>
    <mergeCell ref="AF60:AI60"/>
    <mergeCell ref="AE34:AH34"/>
    <mergeCell ref="AE35:AH35"/>
    <mergeCell ref="AE40:AH40"/>
    <mergeCell ref="V58:Y58"/>
    <mergeCell ref="AA58:AD58"/>
    <mergeCell ref="AF58:AI58"/>
    <mergeCell ref="G59:J59"/>
    <mergeCell ref="L59:O59"/>
    <mergeCell ref="Q59:T59"/>
    <mergeCell ref="V59:Y59"/>
    <mergeCell ref="AA59:AD59"/>
    <mergeCell ref="AF59:AI59"/>
    <mergeCell ref="AF57:AI57"/>
    <mergeCell ref="AA56:AD56"/>
    <mergeCell ref="AF54:AI54"/>
    <mergeCell ref="AF55:AI55"/>
    <mergeCell ref="AF56:AI56"/>
  </mergeCells>
  <phoneticPr fontId="3" type="noConversion"/>
  <dataValidations disablePrompts="1" count="20">
    <dataValidation type="list" showInputMessage="1" showErrorMessage="1" sqref="G56:J56 L56:O56 Q56:T56 V56:Y56 AA56:AD56 AF56:AI56" xr:uid="{66DDBE43-C354-4E35-B1D9-78644E23EF00}">
      <formula1>"CENTUB,MAROWA,PRC,STZ,GGG,PVC-U,PEHD,PP,GF-UP (GFK)"</formula1>
    </dataValidation>
    <dataValidation type="list" showInputMessage="1" showErrorMessage="1" sqref="G57:J57 L57:O57 Q57:T57 V57:Y57 AA57:AD57 AF57:AI57" xr:uid="{EA9A916C-21C8-4D4E-B7B1-8587367D5F7D}">
      <formula1>"bewehrt,SN 0.5,SN 2,SN 2.5,SN 4,SN 8,SN 10,SN 12,SN 16,SN 2500,SN 5000,SN 10000,EPOXY,PUR,ZM"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3:AH33" xr:uid="{A2CFF20B-F416-44FC-9115-E038149E2461}">
      <formula1>$F$4</formula1>
    </dataValidation>
    <dataValidation type="list" allowBlank="1" showInputMessage="1" showErrorMessage="1" sqref="AE32:AH32 AE34:AH34" xr:uid="{227BAA73-7346-4085-A0C2-4B373B1963E3}">
      <formula1>"375,500,750,875,1000,1125,1250,1375,1500,1625,1750,1875,2000,2125,2250,2375,2500,2625,2750,2875,3000,3125,3250,3375,3500,3625,3750,3875,4000,4125,4250,4375,4500,4625,4750,5000,5125,5250,5375,5500,5625,5750,5875,6000"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Z19 Z21 Z23 Z25 B49 X49 X51 AD51 AD43" xr:uid="{6B64EB9F-8B54-441B-965A-C49D61B92512}">
      <formula1>"X"</formula1>
    </dataValidation>
    <dataValidation type="list" allowBlank="1" showInputMessage="1" showErrorMessage="1" sqref="AI17" xr:uid="{6A10B306-F9FD-49B0-9FF1-39DC1AEF2CB6}">
      <formula1>"Werk Brugg 71 ,Werk Lyss 11"</formula1>
    </dataValidation>
    <dataValidation showInputMessage="1" showErrorMessage="1" sqref="J25:P25" xr:uid="{458E6D7C-7809-4340-B54B-4AA65902A84E}"/>
    <dataValidation type="list" allowBlank="1" showInputMessage="1" showErrorMessage="1" sqref="X17:AH17" xr:uid="{3FC0B2D3-FE52-45D3-9BC8-F8892E6EFB9C}">
      <formula1>"Werk Brugg 71,Werk Lyss 11"</formula1>
    </dataValidation>
    <dataValidation type="list" showInputMessage="1" showErrorMessage="1" sqref="AE37:AH37" xr:uid="{8CDE9CFD-318B-410C-BA76-2DE379655E6B}">
      <formula1>"600"</formula1>
    </dataValidation>
    <dataValidation type="list" allowBlank="1" showInputMessage="1" showErrorMessage="1" sqref="AE31:AH31" xr:uid="{58C4F0C4-93E5-4975-9ED3-C9D054322AC6}">
      <formula1>"0,815,1015,1225"</formula1>
    </dataValidation>
    <dataValidation type="list" allowBlank="1" showErrorMessage="1" error="Nur Höhen 250, 375, 500, 1000 mm möglich" sqref="AE36:AH36" xr:uid="{8E0F936F-DF6D-4197-A78E-2BB648D6C325}">
      <formula1>"150"</formula1>
    </dataValidation>
    <dataValidation type="list" showInputMessage="1" showErrorMessage="1" sqref="AI37" xr:uid="{C35801B0-1569-4782-A8FC-4AEBBB811236}">
      <formula1>"0,600"</formula1>
    </dataValidation>
    <dataValidation type="list" showInputMessage="1" showErrorMessage="1" sqref="B51 AD49 AD45" xr:uid="{D8ED236F-DFAB-4B8A-A2B5-4C482B6EB790}">
      <formula1>"X"</formula1>
    </dataValidation>
    <dataValidation type="list" showInputMessage="1" showErrorMessage="1" sqref="L55:O55 Q55:T55 V55:Y55 AA55:AD55 G55:J55 AF55:AI55" xr:uid="{747D7B45-4EA0-412C-960D-F2063B8E1BA1}">
      <formula1>$B$1:$O$1</formula1>
    </dataValidation>
    <dataValidation type="list" allowBlank="1" showErrorMessage="1" error="Nur Höhen 250, 375, 500, 1000 mm möglich" sqref="AE35:AH35" xr:uid="{BA2454E2-ED29-4EA5-B38D-80EA04415421}">
      <formula1>"600"</formula1>
    </dataValidation>
  </dataValidations>
  <printOptions horizontalCentered="1" verticalCentered="1"/>
  <pageMargins left="0.51181102362204722" right="0.51181102362204722" top="0.9055118110236221" bottom="0.39370078740157483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518" r:id="rId5">
          <objectPr defaultSize="0" autoPict="0" r:id="rId6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7</xdr:col>
                <xdr:colOff>66675</xdr:colOff>
                <xdr:row>42</xdr:row>
                <xdr:rowOff>38100</xdr:rowOff>
              </to>
            </anchor>
          </objectPr>
        </oleObject>
      </mc:Choice>
      <mc:Fallback>
        <oleObject progId="AutoSketch.Drawing.9" shapeId="1518" r:id="rId5"/>
      </mc:Fallback>
    </mc:AlternateContent>
    <mc:AlternateContent xmlns:mc="http://schemas.openxmlformats.org/markup-compatibility/2006">
      <mc:Choice Requires="x14">
        <oleObject progId="AutoSketch.Drawing.9" shapeId="1524" r:id="rId7">
          <objectPr defaultSize="0" autoPict="0" r:id="rId8">
            <anchor moveWithCells="1">
              <from>
                <xdr:col>6</xdr:col>
                <xdr:colOff>152400</xdr:colOff>
                <xdr:row>28</xdr:row>
                <xdr:rowOff>19050</xdr:rowOff>
              </from>
              <to>
                <xdr:col>24</xdr:col>
                <xdr:colOff>57150</xdr:colOff>
                <xdr:row>42</xdr:row>
                <xdr:rowOff>133350</xdr:rowOff>
              </to>
            </anchor>
          </objectPr>
        </oleObject>
      </mc:Choice>
      <mc:Fallback>
        <oleObject progId="AutoSketch.Drawing.9" shapeId="1524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2024-11-21T14:41:41Z</cp:lastPrinted>
  <dcterms:created xsi:type="dcterms:W3CDTF">2008-09-29T09:08:30Z</dcterms:created>
  <dcterms:modified xsi:type="dcterms:W3CDTF">2024-11-21T14:41:44Z</dcterms:modified>
</cp:coreProperties>
</file>