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E516EE6C-B341-4AE4-90CF-10FF9EA19C4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 l="1"/>
  <c r="AE46" i="1"/>
  <c r="AF48" i="1"/>
  <c r="AF47" i="1"/>
  <c r="P4" i="1"/>
  <c r="N4" i="1"/>
  <c r="M4" i="1"/>
  <c r="L4" i="1"/>
  <c r="AC40" i="1"/>
  <c r="AB48" i="1"/>
  <c r="AB47" i="1"/>
  <c r="O4" i="1"/>
  <c r="K4" i="1"/>
  <c r="L5" i="1" l="1"/>
  <c r="J5" i="1"/>
  <c r="H5" i="1"/>
  <c r="H4" i="1"/>
  <c r="AE35" i="1"/>
  <c r="A28" i="1" l="1"/>
  <c r="AE28" i="1" s="1"/>
  <c r="E2" i="1" s="1"/>
  <c r="AB49" i="1" l="1"/>
  <c r="D2" i="1"/>
  <c r="C2" i="1"/>
  <c r="B28" i="1"/>
  <c r="B2" i="1"/>
  <c r="I28" i="1"/>
  <c r="P2" i="1"/>
  <c r="S2" i="1"/>
  <c r="T2" i="1"/>
  <c r="U2" i="1"/>
  <c r="V2" i="1"/>
  <c r="W2" i="1"/>
  <c r="X2" i="1"/>
  <c r="Y2" i="1"/>
  <c r="Z2" i="1"/>
  <c r="AA2" i="1"/>
  <c r="AB2" i="1"/>
  <c r="AC2" i="1"/>
  <c r="AD2" i="1"/>
  <c r="AI2" i="1"/>
  <c r="AH2" i="1"/>
  <c r="AG2" i="1"/>
  <c r="AF2" i="1"/>
  <c r="AE2" i="1"/>
  <c r="AE32" i="1" l="1"/>
  <c r="F1" i="1"/>
  <c r="C1" i="1"/>
  <c r="AE37" i="1"/>
  <c r="B1" i="1"/>
  <c r="D1" i="1"/>
  <c r="E1" i="1"/>
  <c r="AE43" i="1" l="1"/>
  <c r="AE44" i="1" s="1"/>
  <c r="R23" i="1"/>
  <c r="AE45" i="1" l="1"/>
  <c r="B21" i="1"/>
  <c r="J23" i="1"/>
</calcChain>
</file>

<file path=xl/sharedStrings.xml><?xml version="1.0" encoding="utf-8"?>
<sst xmlns="http://schemas.openxmlformats.org/spreadsheetml/2006/main" count="69" uniqueCount="64">
  <si>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</si>
  <si>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</si>
  <si>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</si>
  <si>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</si>
  <si>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</si>
  <si>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</si>
  <si>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</si>
  <si>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</si>
  <si>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</si>
  <si>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</si>
  <si>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</si>
  <si>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inkl. Schachtaufbau</t>
  </si>
  <si>
    <t>Schacht-Nr.</t>
  </si>
  <si>
    <t>nur Schachtunterteil</t>
  </si>
  <si>
    <t>Nennweite (mm)</t>
  </si>
  <si>
    <t>Bemerkungen</t>
  </si>
  <si>
    <t>Lieferung LKW spezifikationen</t>
  </si>
  <si>
    <t>auf Baustelle</t>
  </si>
  <si>
    <t>Lieferzeit</t>
  </si>
  <si>
    <t>Gehänge mitliefern</t>
  </si>
  <si>
    <t>Gehänge mit Kunde klären</t>
  </si>
  <si>
    <t>Lieferwerk</t>
  </si>
  <si>
    <t xml:space="preserve">Durchmesser cm: </t>
  </si>
  <si>
    <t>A 31 11 / 12 CRENO-Normschacht
Bestellformular</t>
  </si>
  <si>
    <t>Typ</t>
  </si>
  <si>
    <t>Rohranschlüsse</t>
  </si>
  <si>
    <r>
      <t>NW</t>
    </r>
    <r>
      <rPr>
        <sz val="8"/>
        <rFont val="Arial"/>
        <family val="2"/>
      </rPr>
      <t>1</t>
    </r>
  </si>
  <si>
    <r>
      <t>NW</t>
    </r>
    <r>
      <rPr>
        <sz val="8"/>
        <rFont val="Arial"/>
        <family val="2"/>
      </rPr>
      <t>2</t>
    </r>
  </si>
  <si>
    <t>Schachthöhe</t>
  </si>
  <si>
    <t>D m.ü.M</t>
  </si>
  <si>
    <t>A Auslauf m.ü.M</t>
  </si>
  <si>
    <t>Typ 1</t>
  </si>
  <si>
    <t>Typ 2</t>
  </si>
  <si>
    <t>Typ 3</t>
  </si>
  <si>
    <t>Typ 4</t>
  </si>
  <si>
    <t>Schachtaufbau (cm)</t>
  </si>
  <si>
    <t>h1 Unterteil cm</t>
  </si>
  <si>
    <t>h2 Schachtringe</t>
  </si>
  <si>
    <t>h3 RIKO</t>
  </si>
  <si>
    <t>Typ 5</t>
  </si>
  <si>
    <t>Typ 6</t>
  </si>
  <si>
    <t>Typ 7</t>
  </si>
  <si>
    <t>Typ 8</t>
  </si>
  <si>
    <t>HS Aufbauhöhe</t>
  </si>
  <si>
    <t>HD Deckelhöhe</t>
  </si>
  <si>
    <t>Typ 9</t>
  </si>
  <si>
    <t>Typ 10</t>
  </si>
  <si>
    <t>Typ 11</t>
  </si>
  <si>
    <t>Typ 12</t>
  </si>
  <si>
    <t>Bohrungen inkl. TOK in Schachtring</t>
  </si>
  <si>
    <t>Anschluss 1</t>
  </si>
  <si>
    <t>Anschluss 2</t>
  </si>
  <si>
    <t>Winkel Grad [°] A = 0 Grad</t>
  </si>
  <si>
    <t>Kote m.ü.M</t>
  </si>
  <si>
    <t>HT Schachthöhe</t>
  </si>
  <si>
    <t>t1 cm</t>
  </si>
  <si>
    <t>t2 cm</t>
  </si>
  <si>
    <t>t3 cm</t>
  </si>
  <si>
    <t>Schachthöhe Plan</t>
  </si>
  <si>
    <t>h3 Abdeckplatte</t>
  </si>
  <si>
    <t>h3 Konus</t>
  </si>
  <si>
    <t>X</t>
  </si>
  <si>
    <t>CREABETON September 2024/str</t>
  </si>
  <si>
    <t>Tel.-Nr.: 0848 400 401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</si>
</sst>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22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0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/>
    <xf numFmtId="0" fontId="10" fillId="0" borderId="0" xfId="0" applyFo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0" borderId="12" xfId="0" applyFont="1" applyBorder="1"/>
    <xf numFmtId="0" fontId="9" fillId="0" borderId="8" xfId="0" applyFont="1" applyBorder="1" applyAlignment="1">
      <alignment vertical="center"/>
    </xf>
    <xf numFmtId="0" fontId="13" fillId="0" borderId="0" xfId="0" applyFont="1"/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" fillId="0" borderId="3" xfId="0" applyFont="1" applyBorder="1"/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17" xfId="0" applyFont="1" applyBorder="1"/>
    <xf numFmtId="0" fontId="9" fillId="0" borderId="18" xfId="0" applyFont="1" applyBorder="1"/>
    <xf numFmtId="0" fontId="10" fillId="0" borderId="18" xfId="0" applyFont="1" applyBorder="1" applyAlignment="1">
      <alignment vertical="center"/>
    </xf>
    <xf numFmtId="0" fontId="1" fillId="2" borderId="2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3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2" fillId="0" borderId="0" xfId="0" applyFont="1"/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7" fillId="0" borderId="3" xfId="0" applyFont="1" applyBorder="1"/>
    <xf numFmtId="0" fontId="14" fillId="0" borderId="0" xfId="0" applyFont="1" applyAlignment="1">
      <alignment readingOrder="1"/>
    </xf>
    <xf numFmtId="0" fontId="12" fillId="0" borderId="0" xfId="0" applyFont="1" applyAlignment="1">
      <alignment readingOrder="1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2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2" xfId="0" applyFont="1" applyBorder="1"/>
    <xf numFmtId="0" fontId="7" fillId="0" borderId="3" xfId="0" applyFont="1" applyBorder="1"/>
    <xf numFmtId="0" fontId="20" fillId="2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/>
    <xf numFmtId="0" fontId="10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" xfId="0" applyFont="1" applyBorder="1"/>
    <xf numFmtId="0" fontId="7" fillId="0" borderId="10" xfId="0" applyFont="1" applyBorder="1"/>
    <xf numFmtId="0" fontId="7" fillId="0" borderId="8" xfId="0" applyFont="1" applyBorder="1"/>
    <xf numFmtId="0" fontId="1" fillId="0" borderId="8" xfId="0" applyFont="1" applyBorder="1" applyAlignment="1">
      <alignment horizontal="center" vertical="center"/>
    </xf>
    <xf numFmtId="0" fontId="7" fillId="0" borderId="9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7" fillId="0" borderId="0" xfId="0" applyFont="1" applyAlignment="1">
      <alignment vertical="center"/>
    </xf>
    <xf numFmtId="0" fontId="7" fillId="0" borderId="11" xfId="0" applyFont="1" applyBorder="1"/>
    <xf numFmtId="0" fontId="10" fillId="0" borderId="2" xfId="0" applyFont="1" applyBorder="1" applyAlignment="1">
      <alignment horizontal="left" vertical="center"/>
    </xf>
    <xf numFmtId="0" fontId="7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6" fillId="0" borderId="0" xfId="0" applyFont="1"/>
    <xf numFmtId="0" fontId="13" fillId="0" borderId="2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7" fillId="2" borderId="1" xfId="0" applyFont="1" applyFill="1" applyBorder="1"/>
    <xf numFmtId="0" fontId="21" fillId="0" borderId="0" xfId="0" applyFont="1" applyAlignment="1">
      <alignment vertical="center"/>
    </xf>
    <xf numFmtId="0" fontId="11" fillId="2" borderId="9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1" fillId="2" borderId="9" xfId="0" applyFont="1" applyFill="1" applyBorder="1" applyAlignment="1">
      <alignment vertical="center"/>
    </xf>
    <xf numFmtId="0" fontId="11" fillId="2" borderId="2" xfId="0" applyFont="1" applyFill="1" applyBorder="1"/>
    <xf numFmtId="0" fontId="11" fillId="2" borderId="10" xfId="0" applyFont="1" applyFill="1" applyBorder="1"/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11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/>
    <xf numFmtId="0" fontId="9" fillId="0" borderId="11" xfId="0" applyFont="1" applyBorder="1"/>
    <xf numFmtId="0" fontId="9" fillId="0" borderId="4" xfId="0" applyFont="1" applyBorder="1" applyAlignment="1">
      <alignment horizontal="left"/>
    </xf>
    <xf numFmtId="0" fontId="9" fillId="0" borderId="5" xfId="0" applyFont="1" applyBorder="1"/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12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5" fillId="2" borderId="13" xfId="2" applyFill="1" applyBorder="1" applyAlignment="1" applyProtection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2" fontId="11" fillId="2" borderId="5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2" fontId="1" fillId="2" borderId="2" xfId="0" applyNumberFormat="1" applyFont="1" applyFill="1" applyBorder="1" applyAlignment="1">
      <alignment horizontal="center" vertical="center"/>
    </xf>
    <xf numFmtId="2" fontId="0" fillId="0" borderId="2" xfId="0" applyNumberFormat="1" applyBorder="1"/>
    <xf numFmtId="2" fontId="0" fillId="0" borderId="10" xfId="0" applyNumberFormat="1" applyBorder="1"/>
    <xf numFmtId="0" fontId="6" fillId="0" borderId="6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4" xfId="0" applyFont="1" applyBorder="1"/>
    <xf numFmtId="0" fontId="1" fillId="0" borderId="5" xfId="0" applyFont="1" applyBorder="1"/>
    <xf numFmtId="0" fontId="0" fillId="0" borderId="6" xfId="0" applyBorder="1"/>
    <xf numFmtId="2" fontId="7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1" fillId="2" borderId="5" xfId="0" applyNumberFormat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29</xdr:row>
          <xdr:rowOff>0</xdr:rowOff>
        </xdr:from>
        <xdr:to>
          <xdr:col>5</xdr:col>
          <xdr:colOff>9525</xdr:colOff>
          <xdr:row>31</xdr:row>
          <xdr:rowOff>133350</xdr:rowOff>
        </xdr:to>
        <xdr:sp macro="" textlink="">
          <xdr:nvSpPr>
            <xdr:cNvPr id="1521" name="Object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28</xdr:row>
          <xdr:rowOff>104775</xdr:rowOff>
        </xdr:from>
        <xdr:to>
          <xdr:col>14</xdr:col>
          <xdr:colOff>133350</xdr:colOff>
          <xdr:row>32</xdr:row>
          <xdr:rowOff>142875</xdr:rowOff>
        </xdr:to>
        <xdr:sp macro="" textlink="">
          <xdr:nvSpPr>
            <xdr:cNvPr id="1522" name="Object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34</xdr:row>
          <xdr:rowOff>66675</xdr:rowOff>
        </xdr:from>
        <xdr:to>
          <xdr:col>4</xdr:col>
          <xdr:colOff>133350</xdr:colOff>
          <xdr:row>38</xdr:row>
          <xdr:rowOff>57150</xdr:rowOff>
        </xdr:to>
        <xdr:sp macro="" textlink="">
          <xdr:nvSpPr>
            <xdr:cNvPr id="1523" name="Object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28575</xdr:rowOff>
        </xdr:from>
        <xdr:to>
          <xdr:col>9</xdr:col>
          <xdr:colOff>171450</xdr:colOff>
          <xdr:row>38</xdr:row>
          <xdr:rowOff>95250</xdr:rowOff>
        </xdr:to>
        <xdr:sp macro="" textlink="">
          <xdr:nvSpPr>
            <xdr:cNvPr id="1524" name="Object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</xdr:row>
          <xdr:rowOff>152400</xdr:rowOff>
        </xdr:from>
        <xdr:to>
          <xdr:col>14</xdr:col>
          <xdr:colOff>171450</xdr:colOff>
          <xdr:row>38</xdr:row>
          <xdr:rowOff>57150</xdr:rowOff>
        </xdr:to>
        <xdr:sp macro="" textlink="">
          <xdr:nvSpPr>
            <xdr:cNvPr id="1525" name="Object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180975</xdr:rowOff>
        </xdr:from>
        <xdr:to>
          <xdr:col>5</xdr:col>
          <xdr:colOff>19050</xdr:colOff>
          <xdr:row>44</xdr:row>
          <xdr:rowOff>171450</xdr:rowOff>
        </xdr:to>
        <xdr:sp macro="" textlink="">
          <xdr:nvSpPr>
            <xdr:cNvPr id="1526" name="Object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40</xdr:row>
          <xdr:rowOff>28575</xdr:rowOff>
        </xdr:from>
        <xdr:to>
          <xdr:col>10</xdr:col>
          <xdr:colOff>19050</xdr:colOff>
          <xdr:row>44</xdr:row>
          <xdr:rowOff>28575</xdr:rowOff>
        </xdr:to>
        <xdr:sp macro="" textlink="">
          <xdr:nvSpPr>
            <xdr:cNvPr id="1527" name="Object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40</xdr:row>
          <xdr:rowOff>104775</xdr:rowOff>
        </xdr:from>
        <xdr:to>
          <xdr:col>14</xdr:col>
          <xdr:colOff>133350</xdr:colOff>
          <xdr:row>44</xdr:row>
          <xdr:rowOff>171450</xdr:rowOff>
        </xdr:to>
        <xdr:sp macro="" textlink="">
          <xdr:nvSpPr>
            <xdr:cNvPr id="1528" name="Object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46</xdr:row>
          <xdr:rowOff>66675</xdr:rowOff>
        </xdr:from>
        <xdr:to>
          <xdr:col>4</xdr:col>
          <xdr:colOff>114300</xdr:colOff>
          <xdr:row>50</xdr:row>
          <xdr:rowOff>95250</xdr:rowOff>
        </xdr:to>
        <xdr:sp macro="" textlink="">
          <xdr:nvSpPr>
            <xdr:cNvPr id="1529" name="Object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46</xdr:row>
          <xdr:rowOff>152400</xdr:rowOff>
        </xdr:from>
        <xdr:to>
          <xdr:col>9</xdr:col>
          <xdr:colOff>152400</xdr:colOff>
          <xdr:row>50</xdr:row>
          <xdr:rowOff>171450</xdr:rowOff>
        </xdr:to>
        <xdr:sp macro="" textlink="">
          <xdr:nvSpPr>
            <xdr:cNvPr id="1530" name="Object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57150</xdr:rowOff>
        </xdr:from>
        <xdr:to>
          <xdr:col>14</xdr:col>
          <xdr:colOff>171450</xdr:colOff>
          <xdr:row>50</xdr:row>
          <xdr:rowOff>57150</xdr:rowOff>
        </xdr:to>
        <xdr:sp macro="" textlink="">
          <xdr:nvSpPr>
            <xdr:cNvPr id="1531" name="Object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57150</xdr:rowOff>
        </xdr:from>
        <xdr:to>
          <xdr:col>9</xdr:col>
          <xdr:colOff>171450</xdr:colOff>
          <xdr:row>32</xdr:row>
          <xdr:rowOff>57150</xdr:rowOff>
        </xdr:to>
        <xdr:sp macro="" textlink="">
          <xdr:nvSpPr>
            <xdr:cNvPr id="1532" name="Object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27</xdr:row>
          <xdr:rowOff>142875</xdr:rowOff>
        </xdr:from>
        <xdr:to>
          <xdr:col>25</xdr:col>
          <xdr:colOff>19050</xdr:colOff>
          <xdr:row>48</xdr:row>
          <xdr:rowOff>38100</xdr:rowOff>
        </xdr:to>
        <xdr:sp macro="" textlink="">
          <xdr:nvSpPr>
            <xdr:cNvPr id="1545" name="Object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</xdr:colOff>
      <xdr:row>0</xdr:row>
      <xdr:rowOff>0</xdr:rowOff>
    </xdr:from>
    <xdr:to>
      <xdr:col>34</xdr:col>
      <xdr:colOff>91440</xdr:colOff>
      <xdr:row>4</xdr:row>
      <xdr:rowOff>47625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620" y="0"/>
          <a:ext cx="6499860" cy="2914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oleObject" Target="../embeddings/oleObject5.bin"/><Relationship Id="rId18" Type="http://schemas.openxmlformats.org/officeDocument/2006/relationships/image" Target="../media/image7.emf"/><Relationship Id="rId26" Type="http://schemas.openxmlformats.org/officeDocument/2006/relationships/image" Target="../media/image11.emf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9.bin"/><Relationship Id="rId7" Type="http://schemas.openxmlformats.org/officeDocument/2006/relationships/oleObject" Target="../embeddings/oleObject2.bin"/><Relationship Id="rId12" Type="http://schemas.openxmlformats.org/officeDocument/2006/relationships/image" Target="../media/image4.emf"/><Relationship Id="rId17" Type="http://schemas.openxmlformats.org/officeDocument/2006/relationships/oleObject" Target="../embeddings/oleObject7.bin"/><Relationship Id="rId25" Type="http://schemas.openxmlformats.org/officeDocument/2006/relationships/oleObject" Target="../embeddings/oleObject11.bin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29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4.bin"/><Relationship Id="rId24" Type="http://schemas.openxmlformats.org/officeDocument/2006/relationships/image" Target="../media/image10.emf"/><Relationship Id="rId5" Type="http://schemas.openxmlformats.org/officeDocument/2006/relationships/oleObject" Target="../embeddings/oleObject1.bin"/><Relationship Id="rId15" Type="http://schemas.openxmlformats.org/officeDocument/2006/relationships/oleObject" Target="../embeddings/oleObject6.bin"/><Relationship Id="rId23" Type="http://schemas.openxmlformats.org/officeDocument/2006/relationships/oleObject" Target="../embeddings/oleObject10.bin"/><Relationship Id="rId28" Type="http://schemas.openxmlformats.org/officeDocument/2006/relationships/image" Target="../media/image12.emf"/><Relationship Id="rId10" Type="http://schemas.openxmlformats.org/officeDocument/2006/relationships/image" Target="../media/image3.emf"/><Relationship Id="rId19" Type="http://schemas.openxmlformats.org/officeDocument/2006/relationships/oleObject" Target="../embeddings/oleObject8.bin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3.bin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oleObject" Target="../embeddings/oleObject12.bin"/><Relationship Id="rId30" Type="http://schemas.openxmlformats.org/officeDocument/2006/relationships/image" Target="../media/image1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0"/>
  <sheetViews>
    <sheetView showGridLines="0" tabSelected="1" view="pageLayout" zoomScaleNormal="100" workbookViewId="0">
      <selection activeCell="V12" sqref="V12:AI12"/>
    </sheetView>
  </sheetViews>
  <sheetFormatPr baseColWidth="10" defaultColWidth="1.42578125" defaultRowHeight="12.75"/>
  <cols>
    <col min="1" max="26" width="2.7109375" style="1" customWidth="1"/>
    <col min="27" max="34" width="2.5703125" style="1" customWidth="1"/>
    <col min="35" max="35" width="1.5703125" style="1" customWidth="1"/>
    <col min="36" max="36" width="1.42578125" style="1"/>
    <col min="37" max="37" width="2.140625" style="1" bestFit="1" customWidth="1"/>
    <col min="38" max="16384" width="1.42578125" style="1"/>
  </cols>
  <sheetData>
    <row r="1" spans="1:35" ht="3.4" customHeight="1">
      <c r="A1" s="48"/>
      <c r="B1" s="1" t="str">
        <f>IF(OR($Z$27="",$AE$28=""),"DN und Typ auswählen",IF($Z$27=70,"",IF(AND($AE$28=1,$Z$27=60),125,IF(AND($AE$28=1,$Z$27=80),125,IF(AND($AE$28=1,$Z$27=100),125,IF(AND($AE$28=2,$Z$27=60),125,IF(AND($AE$28=2,$Z$27=80),125,IF(AND($AE$28=9,$Z$27=80),125,IF(AND($AE$28=10,$Z$27=80),125,IF(AND($AE$28=10,$Z$27=80),125,IF(AND($AE$28=11,$Z$27=80),125,IF(AND($AE$28=12,$Z$27=80),125,""))))))))))))</f>
        <v>DN und Typ auswählen</v>
      </c>
      <c r="C1" s="1" t="str">
        <f>IF(OR($Z$27="",$AE$28=""),"DN und Typ auswählen",IF(AND($AE$28=1,$Z$27=60),160,IF(AND($AE$28=1,Z27=70),160,IF(AND($AE$28=1,$Z$27=70),200,IF(AND(AE28=2,Z27=60),160,IF(AND($AE$28=2,$Z$27=70),160,IF(AND($AE$28=5,$Z$27=70),160,IF(AND($AE$28=6,$Z$27=70),160,IF(AND($AE$28&gt;=1,$Z$27=80),160,IF(AND($AE$28&gt;=1,$Z$27=100),160,""))))))))))</f>
        <v>DN und Typ auswählen</v>
      </c>
      <c r="D1" s="1" t="str">
        <f>IF(OR($Z$27="",$AE$28=""),"DN und Typ auswählen",IF(AND($AE$28=1,$Z$27=60),200,IF(AND(AE28=1,Z27=70),200,IF(AND($AE$28=2,$Z$27=70),200,IF(AND($AE$28=5,$Z$27=70),200,IF(AND($AE$28=6,$Z$27=70),200,IF(AND($AE$28&gt;=1,$Z$27=80),200,IF(AND($AE$28&gt;=1,$Z$27=100),200,""))))))))</f>
        <v>DN und Typ auswählen</v>
      </c>
      <c r="E1" s="1" t="str">
        <f>IF(OR($Z$27="",$AE$28=""),"DN und Typ auswählen",IF(AND($AE$28=1,$Z$27=60),"",IF(AND($AE$28=2,$Z$27=70),"",IF(AND($AE$28=5,$Z$27=70),"",IF(AND($AE$28=6,$Z$27=70),"",IF(AND($AE$28&gt;=1,$Z$27=80),"",IF(AND($AE$28&gt;=1,$Z$27=100),250,"")))))))</f>
        <v>DN und Typ auswählen</v>
      </c>
      <c r="F1" s="1" t="str">
        <f>IF(AND($Z$27=80,$AE$28=1),300,"")</f>
        <v/>
      </c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 ht="3.4" customHeight="1">
      <c r="A2" s="48"/>
      <c r="B2" s="1" t="str">
        <f>IF(OR($Z$27="",$AE$28=""),"DN und Typ auswählen",IF(OR(AE28=1,AE28&gt;=9),"",IF(AND(AE28=2,AE30=125,Z27=80),125,IF(AND(AE28=2,Z27=100,AE30=160),125,IF($Z$27=70,"",IF(AND($AE$28=2,$Z$27=60,$AE$30=125),125,""))))))</f>
        <v>DN und Typ auswählen</v>
      </c>
      <c r="C2" s="1" t="str">
        <f>IF(OR($Z$27="",$AE$28=""),"DN und Typ auswählen",IF($AE$28=1,"",IF($AE$28&gt;8,"",IF(AND($AE$28=2,$Z$27=60,AE30=160),160,IF(AND($AE$28=2,$Z$27=60,AE30=125),"",IF(AND($AE$28=2,$Z$27=70),160,IF(AND($AE$28=5,$Z$27=70),160,IF(AND($AE$28=6,$Z$27=70),160,IF(AND($AE$28&gt;=2,$AE$28&lt;=8,$Z$27=80,AE30&gt;125),160,IF(AND($AE$28&gt;=2,$AE$28&lt;=8,$Z$27=100),160,""))))))))))</f>
        <v>DN und Typ auswählen</v>
      </c>
      <c r="D2" s="1" t="str">
        <f>IF(OR($Z$27="",$AE$28=""),"DN und Typ auswählen",IF($AE$28=1,"",IF($AE$28&gt;8,"",IF(AND($AE$28=2,$Z$27=60),"",IF(AND($AE$28=2,$Z$27=70),"",IF(AND($AE$28=5,$Z$27=70),"",IF(AND($AE$28=6,$Z$27=70),"",IF(AND($AE$28&gt;=2,$AE$28&lt;=8,$Z$27=80,$AE$30&gt;160),200,IF(AND($AE$28&gt;=2,$AE$28&lt;=8,$Z$27=100,AE30=200),200,IF(AND(AE28&gt;2,AE28&lt;=8,AE30=250),"",""))))))))))</f>
        <v>DN und Typ auswählen</v>
      </c>
      <c r="E2" s="1" t="str">
        <f>IF(OR($Z$27="",$AE$28=""),"DN und Typ auswählen",IF($AE$28=1,"",IF($AE$28&gt;8,"",IF(AND($AE$28=2,$Z$27=60),"",IF(AND($AE$28=2,$Z$27=70),"",IF(AND($AE$28=5,$Z$27=70),"",IF(AND($AE$28=6,$Z$27=70),"",IF(AND($AE$28&gt;=2,$AE$28&lt;=8,$Z$27=""),200,IF(AND($AE$28&gt;=2,$AE$28&lt;=8,$Z$27=100,AE30&gt;200),250,"")))))))))</f>
        <v>DN und Typ auswählen</v>
      </c>
      <c r="F2" s="51"/>
      <c r="G2" s="7"/>
      <c r="H2" s="7"/>
      <c r="P2" s="49" t="b">
        <f>IF($Z$27=60,"",IF($Z$27=80,6,IF($Z$27=100,10)))</f>
        <v>0</v>
      </c>
      <c r="S2" s="1" t="str">
        <f>IF($Z$27&gt;70,37.5,"")</f>
        <v/>
      </c>
      <c r="T2" s="1" t="str">
        <f>IF($Z$27&gt;70,50,"")</f>
        <v/>
      </c>
      <c r="U2" s="1" t="str">
        <f>IF($Z$27&gt;70,62.5,"")</f>
        <v/>
      </c>
      <c r="V2" s="1" t="str">
        <f>IF($Z$27&gt;70,75,"")</f>
        <v/>
      </c>
      <c r="W2" s="1" t="str">
        <f>IF($Z$27&gt;70,87.5,"")</f>
        <v/>
      </c>
      <c r="X2" s="1" t="str">
        <f>IF($Z$27&gt;70,100,"")</f>
        <v/>
      </c>
      <c r="Y2" s="1" t="str">
        <f>IF($Z$27&gt;70,112.5,"")</f>
        <v/>
      </c>
      <c r="Z2" s="1" t="str">
        <f>IF($Z$27&gt;70,125,"")</f>
        <v/>
      </c>
      <c r="AA2" s="1" t="str">
        <f>IF($Z$27&gt;70,137.5,"")</f>
        <v/>
      </c>
      <c r="AB2" s="1" t="str">
        <f>IF($Z$27&gt;70,150,"")</f>
        <v/>
      </c>
      <c r="AC2" s="1" t="str">
        <f>IF($Z$27&gt;70,162.5,"")</f>
        <v/>
      </c>
      <c r="AD2" s="1" t="str">
        <f>IF($Z$27&gt;70,175,"")</f>
        <v/>
      </c>
      <c r="AE2" s="1" t="str">
        <f>IF($Z$27&gt;70,187.5,"")</f>
        <v/>
      </c>
      <c r="AF2" s="1" t="str">
        <f>IF($Z$27&gt;70,200,"")</f>
        <v/>
      </c>
      <c r="AG2" s="1" t="str">
        <f>IF(AND($Z$27&gt;70,X17="Werk Brugg 71"),212.5,"")</f>
        <v/>
      </c>
      <c r="AH2" s="1" t="str">
        <f>IF(AND($Z$27&gt;70,X17="Werk Brugg 71"),225,"")</f>
        <v/>
      </c>
      <c r="AI2" s="1" t="str">
        <f>IF(AND($Z$27&gt;70,X17="Werk Brugg 71"),237.5,"")</f>
        <v/>
      </c>
    </row>
    <row r="3" spans="1:35" ht="3.4" customHeight="1">
      <c r="A3" s="50"/>
      <c r="B3" s="4"/>
    </row>
    <row r="4" spans="1:35" ht="3.4" customHeight="1">
      <c r="A4" s="50"/>
      <c r="B4" s="4">
        <v>60</v>
      </c>
      <c r="C4" s="1">
        <v>70</v>
      </c>
      <c r="D4" s="4">
        <v>80</v>
      </c>
      <c r="E4" s="1">
        <v>100</v>
      </c>
      <c r="F4" s="19"/>
      <c r="H4" s="1" t="str">
        <f>IF(Z27="","DN?","X")</f>
        <v>DN?</v>
      </c>
      <c r="J4" s="50"/>
      <c r="K4" s="27" t="str">
        <f>IF($Z$27=60,"",IF(AND($X$17="Werk Brugg 71",$Z$27=80),30,""))</f>
        <v/>
      </c>
      <c r="L4" s="27" t="str">
        <f>IF($Z$27=60,"",IF(AND($X$17="Werk Brugg 71",$Z$27=80),35,""))</f>
        <v/>
      </c>
      <c r="M4" s="27" t="b">
        <f>IF($Z$27=60,"",IF(OR($Z$27=70,$Z$27=80,$Z$27=100),50))</f>
        <v>0</v>
      </c>
      <c r="N4" s="27" t="b">
        <f>IF($Z$27=60,"",IF(OR($Z$27=70,$Z$27=80,$Z$27=100),65))</f>
        <v>0</v>
      </c>
      <c r="O4" s="27" t="str">
        <f>IF($Z$27=60,"",IF(AND($X$17="Werk Brugg 71",$Z$27&gt;=80),75,""))</f>
        <v/>
      </c>
      <c r="P4" s="27" t="str">
        <f>IF($Z$27=60,"",IF($Z$27=80,100,IF($Z$27=100,100,"")))</f>
        <v/>
      </c>
      <c r="S4" s="1" t="str">
        <f>IF(AND($AE$40="",$Z$27=80),6,IF(AND($AE$40="",$Z$27=100),10,""))</f>
        <v/>
      </c>
    </row>
    <row r="5" spans="1:35" ht="3.4" customHeight="1">
      <c r="A5" s="50"/>
      <c r="B5" s="4"/>
      <c r="C5" s="4"/>
      <c r="H5" s="1" t="str">
        <f>IF($Z$27="","DN?",IF(AND($Z$27&lt;80,$Z$27&gt;1),"nicht erhältlich","X"))</f>
        <v>DN?</v>
      </c>
      <c r="J5" s="1" t="str">
        <f>IF($Z$27="","DN?",IF(AND($Z$27&lt;70,$Z$27&gt;1),"nicht erhältlich","X"))</f>
        <v>DN?</v>
      </c>
      <c r="L5" s="1" t="str">
        <f>IF($Z$27="","DN?",IF(AND($Z$27&lt;70,$Z$27&gt;1),"nicht erhältlich","X"))</f>
        <v>DN?</v>
      </c>
    </row>
    <row r="6" spans="1:35" s="2" customFormat="1" ht="13.9" customHeight="1">
      <c r="A6" s="137" t="s">
        <v>23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47" t="s">
        <v>63</v>
      </c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</row>
    <row r="7" spans="1:35" s="2" customFormat="1" ht="22.9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48"/>
      <c r="S7" s="148"/>
      <c r="T7" s="148"/>
      <c r="U7" s="148"/>
      <c r="V7" s="148"/>
      <c r="W7" s="148"/>
      <c r="X7" s="148"/>
      <c r="Y7" s="148"/>
      <c r="Z7" s="148"/>
      <c r="AA7" s="149"/>
      <c r="AB7" s="149"/>
      <c r="AC7" s="149"/>
      <c r="AD7" s="149"/>
      <c r="AE7" s="149"/>
      <c r="AF7" s="149"/>
      <c r="AG7" s="149"/>
      <c r="AH7" s="149"/>
      <c r="AI7" s="149"/>
    </row>
    <row r="8" spans="1:35" ht="16.899999999999999" customHeight="1">
      <c r="A8" s="30" t="s">
        <v>0</v>
      </c>
      <c r="B8" s="18"/>
      <c r="C8" s="18"/>
      <c r="D8" s="18"/>
      <c r="E8" s="18"/>
      <c r="F8" s="32" t="s">
        <v>5</v>
      </c>
      <c r="G8" s="31"/>
      <c r="H8" s="31"/>
      <c r="I8" s="31"/>
      <c r="J8" s="150"/>
      <c r="K8" s="151"/>
      <c r="L8" s="151"/>
      <c r="M8" s="151"/>
      <c r="N8" s="151"/>
      <c r="O8" s="151"/>
      <c r="P8" s="152"/>
      <c r="Q8" s="47"/>
      <c r="R8" s="153" t="s">
        <v>6</v>
      </c>
      <c r="S8" s="154"/>
      <c r="T8" s="154"/>
      <c r="U8" s="154"/>
      <c r="V8" s="154"/>
      <c r="W8" s="154"/>
      <c r="X8" s="154"/>
      <c r="Y8" s="154"/>
      <c r="Z8" s="155"/>
      <c r="AA8" s="156" t="s">
        <v>7</v>
      </c>
      <c r="AB8" s="157"/>
      <c r="AC8" s="157"/>
      <c r="AD8" s="158"/>
      <c r="AE8" s="158"/>
      <c r="AF8" s="158"/>
      <c r="AG8" s="158"/>
      <c r="AH8" s="158"/>
      <c r="AI8" s="159"/>
    </row>
    <row r="9" spans="1:35" ht="16.899999999999999" customHeight="1">
      <c r="A9" s="102"/>
      <c r="B9" s="103"/>
      <c r="C9" s="103"/>
      <c r="D9" s="103"/>
      <c r="E9" s="103"/>
      <c r="F9" s="103"/>
      <c r="G9" s="103"/>
      <c r="H9" s="103"/>
      <c r="I9" s="104"/>
      <c r="J9" s="104"/>
      <c r="K9" s="104"/>
      <c r="L9" s="104"/>
      <c r="M9" s="104"/>
      <c r="N9" s="104"/>
      <c r="O9" s="104"/>
      <c r="P9" s="105"/>
      <c r="Q9" s="4"/>
      <c r="R9" s="138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40"/>
    </row>
    <row r="10" spans="1:35" ht="16.899999999999999" customHeight="1">
      <c r="A10" s="138"/>
      <c r="B10" s="103"/>
      <c r="C10" s="103"/>
      <c r="D10" s="103"/>
      <c r="E10" s="103"/>
      <c r="F10" s="103"/>
      <c r="G10" s="103"/>
      <c r="H10" s="103"/>
      <c r="I10" s="104"/>
      <c r="J10" s="104"/>
      <c r="K10" s="104"/>
      <c r="L10" s="104"/>
      <c r="M10" s="104"/>
      <c r="N10" s="104"/>
      <c r="O10" s="104"/>
      <c r="P10" s="105"/>
      <c r="Q10" s="7"/>
      <c r="R10" s="141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3"/>
    </row>
    <row r="11" spans="1:35" ht="16.899999999999999" customHeight="1">
      <c r="A11" s="138"/>
      <c r="B11" s="103"/>
      <c r="C11" s="103"/>
      <c r="D11" s="103"/>
      <c r="E11" s="103"/>
      <c r="F11" s="103"/>
      <c r="G11" s="103"/>
      <c r="H11" s="103"/>
      <c r="I11" s="104"/>
      <c r="J11" s="104"/>
      <c r="K11" s="104"/>
      <c r="L11" s="104"/>
      <c r="M11" s="104"/>
      <c r="N11" s="104"/>
      <c r="O11" s="104"/>
      <c r="P11" s="105"/>
      <c r="Q11" s="7"/>
      <c r="R11" s="144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</row>
    <row r="12" spans="1:35" ht="16.899999999999999" customHeight="1">
      <c r="A12" s="145" t="s">
        <v>1</v>
      </c>
      <c r="B12" s="146"/>
      <c r="C12" s="146"/>
      <c r="D12" s="146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7" t="s">
        <v>8</v>
      </c>
      <c r="R12" s="145" t="s">
        <v>1</v>
      </c>
      <c r="S12" s="146"/>
      <c r="T12" s="146"/>
      <c r="U12" s="146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</row>
    <row r="13" spans="1:35" ht="16.899999999999999" customHeight="1">
      <c r="A13" s="112" t="s">
        <v>2</v>
      </c>
      <c r="B13" s="113"/>
      <c r="C13" s="113"/>
      <c r="D13" s="113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5"/>
      <c r="Q13" s="7"/>
      <c r="R13" s="112" t="s">
        <v>2</v>
      </c>
      <c r="S13" s="113"/>
      <c r="T13" s="113"/>
      <c r="U13" s="113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</row>
    <row r="14" spans="1:35" ht="16.899999999999999" customHeight="1" thickBot="1">
      <c r="A14" s="169" t="s">
        <v>3</v>
      </c>
      <c r="B14" s="170"/>
      <c r="C14" s="170"/>
      <c r="D14" s="170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5"/>
      <c r="Q14" s="46"/>
      <c r="R14" s="169" t="s">
        <v>3</v>
      </c>
      <c r="S14" s="170"/>
      <c r="T14" s="170"/>
      <c r="U14" s="170"/>
      <c r="V14" s="171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1:35" s="3" customFormat="1" ht="19.149999999999999" customHeight="1" thickTop="1">
      <c r="A15" s="107" t="s">
        <v>4</v>
      </c>
      <c r="B15" s="108"/>
      <c r="C15" s="108"/>
      <c r="D15" s="108"/>
      <c r="E15" s="108"/>
      <c r="F15" s="108"/>
      <c r="G15" s="114"/>
      <c r="H15" s="115"/>
      <c r="I15" s="115"/>
      <c r="J15" s="115"/>
      <c r="K15" s="115"/>
      <c r="L15" s="115"/>
      <c r="M15" s="115"/>
      <c r="N15" s="115"/>
      <c r="O15" s="115"/>
      <c r="P15" s="115"/>
      <c r="Q15" s="9"/>
      <c r="R15" s="108" t="s">
        <v>9</v>
      </c>
      <c r="S15" s="109"/>
      <c r="T15" s="109"/>
      <c r="U15" s="109"/>
      <c r="V15" s="109"/>
      <c r="W15" s="109"/>
      <c r="X15" s="114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73"/>
    </row>
    <row r="16" spans="1:35" s="3" customFormat="1" ht="2.1" customHeight="1">
      <c r="A16" s="8"/>
      <c r="B16" s="4"/>
      <c r="C16" s="4"/>
      <c r="D16" s="4"/>
      <c r="E16" s="4"/>
      <c r="F16" s="4"/>
      <c r="G16" s="9"/>
      <c r="H16" s="4"/>
      <c r="I16" s="4"/>
      <c r="J16" s="4"/>
      <c r="K16" s="4"/>
      <c r="L16" s="4"/>
      <c r="M16" s="4"/>
      <c r="N16" s="4"/>
      <c r="O16" s="4"/>
      <c r="P16" s="4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4"/>
      <c r="AC16" s="4"/>
      <c r="AD16" s="4"/>
      <c r="AE16" s="4"/>
      <c r="AF16" s="4"/>
      <c r="AG16" s="4"/>
      <c r="AH16" s="7"/>
      <c r="AI16" s="10"/>
    </row>
    <row r="17" spans="1:35" s="3" customFormat="1" ht="19.149999999999999" customHeight="1">
      <c r="A17" s="11"/>
      <c r="B17" s="166" t="s">
        <v>16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9"/>
      <c r="R17" s="168" t="s">
        <v>21</v>
      </c>
      <c r="S17" s="127"/>
      <c r="T17" s="127"/>
      <c r="U17" s="127"/>
      <c r="V17" s="127"/>
      <c r="W17" s="127"/>
      <c r="X17" s="172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52"/>
    </row>
    <row r="18" spans="1:35" s="3" customFormat="1" ht="2.1" customHeight="1">
      <c r="A18" s="8"/>
      <c r="B18" s="4"/>
      <c r="C18" s="4"/>
      <c r="D18" s="4"/>
      <c r="E18" s="4"/>
      <c r="F18" s="4"/>
      <c r="G18" s="9"/>
      <c r="H18" s="4"/>
      <c r="I18" s="4"/>
      <c r="J18" s="4"/>
      <c r="K18" s="4"/>
      <c r="L18" s="4"/>
      <c r="M18" s="4"/>
      <c r="N18" s="4"/>
      <c r="O18" s="4"/>
      <c r="P18" s="4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4"/>
      <c r="AC18" s="4"/>
      <c r="AD18" s="4"/>
      <c r="AE18" s="4"/>
      <c r="AF18" s="4"/>
      <c r="AG18" s="4"/>
      <c r="AH18" s="7"/>
      <c r="AI18" s="10"/>
    </row>
    <row r="19" spans="1:35" s="3" customFormat="1" ht="14.1" customHeight="1">
      <c r="A19" s="11"/>
      <c r="B19" s="27" t="s">
        <v>16</v>
      </c>
      <c r="C19" s="9"/>
      <c r="D19" s="4"/>
      <c r="E19" s="27" t="s">
        <v>17</v>
      </c>
      <c r="F19" s="4"/>
      <c r="G19" s="4"/>
      <c r="H19" s="4"/>
      <c r="I19" s="4"/>
      <c r="J19" s="119"/>
      <c r="K19" s="120"/>
      <c r="M19" s="4"/>
      <c r="N19" s="27"/>
      <c r="P19" s="9"/>
      <c r="Q19" s="9"/>
      <c r="R19" s="126" t="s">
        <v>18</v>
      </c>
      <c r="S19" s="127"/>
      <c r="T19" s="127"/>
      <c r="U19" s="127"/>
      <c r="V19" s="127"/>
      <c r="W19" s="127"/>
      <c r="X19" s="127"/>
      <c r="Y19" s="127"/>
      <c r="Z19" s="28"/>
      <c r="AB19" s="27" t="s">
        <v>19</v>
      </c>
      <c r="AD19" s="4"/>
      <c r="AE19" s="4"/>
      <c r="AF19" s="4"/>
      <c r="AG19" s="9"/>
      <c r="AH19" s="7"/>
      <c r="AI19" s="10"/>
    </row>
    <row r="20" spans="1:35" s="3" customFormat="1" ht="2.1" customHeight="1">
      <c r="A20" s="13"/>
      <c r="B20" s="9"/>
      <c r="C20" s="9"/>
      <c r="D20" s="4"/>
      <c r="E20" s="4"/>
      <c r="F20" s="4"/>
      <c r="G20" s="4"/>
      <c r="H20" s="4"/>
      <c r="I20" s="4"/>
      <c r="J20" s="14"/>
      <c r="K20" s="4"/>
      <c r="L20" s="4"/>
      <c r="M20" s="4"/>
      <c r="N20" s="9"/>
      <c r="O20" s="9"/>
      <c r="P20" s="9"/>
      <c r="Q20" s="9"/>
      <c r="R20" s="14"/>
      <c r="S20" s="4"/>
      <c r="T20" s="4"/>
      <c r="U20" s="4"/>
      <c r="V20" s="9"/>
      <c r="W20" s="9"/>
      <c r="X20" s="9"/>
      <c r="Y20" s="9"/>
      <c r="Z20" s="14"/>
      <c r="AB20" s="4"/>
      <c r="AD20" s="4"/>
      <c r="AE20" s="9"/>
      <c r="AF20" s="9"/>
      <c r="AG20" s="9"/>
      <c r="AH20" s="7"/>
      <c r="AI20" s="10"/>
    </row>
    <row r="21" spans="1:35" s="3" customFormat="1" ht="14.1" customHeight="1">
      <c r="A21" s="15"/>
      <c r="B21" s="27" t="str">
        <f>IF(J19="nein","","LKW spezifikationen")</f>
        <v>LKW spezifikationen</v>
      </c>
      <c r="I21" s="4"/>
      <c r="J21" s="119"/>
      <c r="K21" s="123"/>
      <c r="L21" s="4" t="s">
        <v>10</v>
      </c>
      <c r="M21" s="4"/>
      <c r="N21" s="4"/>
      <c r="O21" s="4"/>
      <c r="P21" s="9"/>
      <c r="Q21" s="9"/>
      <c r="R21" s="128"/>
      <c r="S21" s="129"/>
      <c r="T21" s="129"/>
      <c r="U21" s="129"/>
      <c r="V21" s="129"/>
      <c r="W21" s="130"/>
      <c r="X21" s="45"/>
      <c r="Y21" s="45"/>
      <c r="Z21" s="28"/>
      <c r="AB21" s="101" t="s">
        <v>20</v>
      </c>
      <c r="AD21" s="4"/>
      <c r="AE21" s="4"/>
      <c r="AF21" s="4"/>
      <c r="AG21" s="9"/>
      <c r="AH21" s="7"/>
      <c r="AI21" s="10"/>
    </row>
    <row r="22" spans="1:35" s="3" customFormat="1" ht="2.1" customHeight="1">
      <c r="A22" s="15"/>
      <c r="B22" s="26"/>
      <c r="C22" s="9"/>
      <c r="D22" s="4"/>
      <c r="E22" s="4"/>
      <c r="F22" s="4"/>
      <c r="G22" s="4"/>
      <c r="H22" s="4"/>
      <c r="I22" s="4"/>
      <c r="J22" s="14"/>
      <c r="K22" s="4"/>
      <c r="L22" s="4"/>
      <c r="M22" s="4"/>
      <c r="N22" s="4"/>
      <c r="O22" s="4"/>
      <c r="P22" s="9"/>
      <c r="Q22" s="9"/>
      <c r="R22" s="14"/>
      <c r="S22" s="4"/>
      <c r="T22" s="4"/>
      <c r="U22" s="4"/>
      <c r="V22" s="4"/>
      <c r="W22" s="4"/>
      <c r="X22" s="9"/>
      <c r="Y22" s="9"/>
      <c r="Z22" s="14"/>
      <c r="AB22" s="4"/>
      <c r="AD22" s="4"/>
      <c r="AE22" s="4"/>
      <c r="AF22" s="4"/>
      <c r="AG22" s="9"/>
      <c r="AH22" s="7"/>
      <c r="AI22" s="10"/>
    </row>
    <row r="23" spans="1:35" s="3" customFormat="1" ht="14.1" customHeight="1">
      <c r="A23" s="15"/>
      <c r="B23" s="116"/>
      <c r="C23" s="117"/>
      <c r="D23" s="117"/>
      <c r="E23" s="117"/>
      <c r="F23" s="117"/>
      <c r="G23" s="117"/>
      <c r="H23" s="118"/>
      <c r="I23" s="4"/>
      <c r="J23" s="35" t="str">
        <f>IF(J19="nein","abgeholt: in welchem Werk","")</f>
        <v/>
      </c>
      <c r="K23" s="4"/>
      <c r="M23" s="4"/>
      <c r="N23" s="4"/>
      <c r="O23" s="37"/>
      <c r="P23" s="4"/>
      <c r="Q23" s="4"/>
      <c r="R23" s="3" t="str">
        <f>IF(R21="Fixzeit Toleranz 30 Min.","Zeit","")</f>
        <v/>
      </c>
      <c r="S23" s="4"/>
      <c r="U23" s="131"/>
      <c r="V23" s="132"/>
      <c r="W23" s="133"/>
      <c r="X23" s="27"/>
      <c r="Z23" s="28"/>
      <c r="AB23" s="27" t="s">
        <v>11</v>
      </c>
      <c r="AD23" s="4"/>
      <c r="AE23" s="4"/>
      <c r="AF23" s="4"/>
      <c r="AG23" s="4"/>
      <c r="AH23" s="7"/>
      <c r="AI23" s="10"/>
    </row>
    <row r="24" spans="1:35" s="3" customFormat="1" ht="2.1" customHeight="1">
      <c r="A24" s="15"/>
      <c r="B24" s="26"/>
      <c r="C24" s="9"/>
      <c r="D24" s="4"/>
      <c r="E24" s="4"/>
      <c r="F24" s="4"/>
      <c r="G24" s="4"/>
      <c r="H24" s="4"/>
      <c r="I24" s="4"/>
      <c r="J24" s="14"/>
      <c r="K24" s="4"/>
      <c r="L24" s="4"/>
      <c r="M24" s="4"/>
      <c r="N24" s="4"/>
      <c r="O24" s="4"/>
      <c r="P24" s="4"/>
      <c r="Q24" s="4"/>
      <c r="R24" s="14"/>
      <c r="S24" s="4"/>
      <c r="T24" s="4"/>
      <c r="U24" s="4"/>
      <c r="V24" s="4"/>
      <c r="W24" s="4"/>
      <c r="X24" s="4"/>
      <c r="Y24" s="4"/>
      <c r="Z24" s="14"/>
      <c r="AB24" s="4"/>
      <c r="AD24" s="4"/>
      <c r="AE24" s="4"/>
      <c r="AF24" s="4"/>
      <c r="AG24" s="4"/>
      <c r="AH24" s="7"/>
      <c r="AI24" s="10"/>
    </row>
    <row r="25" spans="1:35" s="3" customFormat="1" ht="14.1" customHeight="1">
      <c r="A25" s="15"/>
      <c r="B25" s="116"/>
      <c r="C25" s="117"/>
      <c r="D25" s="117"/>
      <c r="E25" s="117"/>
      <c r="F25" s="117"/>
      <c r="G25" s="117"/>
      <c r="H25" s="118"/>
      <c r="I25" s="4"/>
      <c r="J25" s="121"/>
      <c r="K25" s="122"/>
      <c r="L25" s="122"/>
      <c r="M25" s="122"/>
      <c r="N25" s="122"/>
      <c r="O25" s="122"/>
      <c r="P25" s="123"/>
      <c r="Q25" s="4"/>
      <c r="R25" s="38"/>
      <c r="S25" s="4"/>
      <c r="T25" s="4"/>
      <c r="U25" s="39"/>
      <c r="V25" s="39"/>
      <c r="W25" s="39"/>
      <c r="X25" s="39"/>
      <c r="Y25" s="39"/>
      <c r="Z25" s="28"/>
      <c r="AB25" s="27" t="s">
        <v>13</v>
      </c>
      <c r="AD25" s="36"/>
      <c r="AE25" s="36"/>
      <c r="AF25" s="36"/>
      <c r="AG25" s="36"/>
      <c r="AH25" s="36"/>
      <c r="AI25" s="10"/>
    </row>
    <row r="26" spans="1:35" s="3" customFormat="1" ht="1.7" customHeight="1" thickBot="1">
      <c r="A26" s="16"/>
      <c r="B26" s="40"/>
      <c r="C26" s="9"/>
      <c r="D26" s="9"/>
      <c r="E26" s="9"/>
      <c r="F26" s="9"/>
      <c r="G26" s="9"/>
      <c r="H26" s="9"/>
      <c r="I26" s="40"/>
      <c r="J26" s="40"/>
      <c r="K26" s="9"/>
      <c r="L26" s="5"/>
      <c r="M26" s="5"/>
      <c r="N26" s="5"/>
      <c r="O26" s="5"/>
      <c r="P26" s="5"/>
      <c r="Q26" s="5"/>
      <c r="R26" s="40"/>
      <c r="S26" s="40"/>
      <c r="T26" s="9"/>
      <c r="U26" s="5"/>
      <c r="V26" s="5"/>
      <c r="W26" s="5"/>
      <c r="X26" s="5"/>
      <c r="Y26" s="5"/>
      <c r="Z26" s="5"/>
      <c r="AA26" s="5"/>
      <c r="AB26" s="40"/>
      <c r="AC26" s="40"/>
      <c r="AD26" s="9"/>
      <c r="AE26" s="5"/>
      <c r="AF26" s="5"/>
      <c r="AG26" s="5"/>
      <c r="AH26" s="5"/>
      <c r="AI26" s="17"/>
    </row>
    <row r="27" spans="1:35" s="3" customFormat="1" ht="16.149999999999999" customHeight="1" thickTop="1">
      <c r="A27" s="41" t="s">
        <v>12</v>
      </c>
      <c r="B27" s="42"/>
      <c r="C27" s="42"/>
      <c r="D27" s="42"/>
      <c r="E27" s="42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43"/>
      <c r="R27" s="53" t="s">
        <v>22</v>
      </c>
      <c r="S27" s="43"/>
      <c r="T27" s="43"/>
      <c r="U27" s="43"/>
      <c r="V27" s="43"/>
      <c r="W27" s="43"/>
      <c r="X27" s="43"/>
      <c r="Y27" s="43"/>
      <c r="Z27" s="106"/>
      <c r="AA27" s="174"/>
      <c r="AB27" s="174"/>
      <c r="AC27" s="174"/>
      <c r="AD27" s="174"/>
      <c r="AE27" s="174"/>
      <c r="AF27" s="174"/>
      <c r="AG27" s="174"/>
      <c r="AH27" s="174"/>
      <c r="AI27" s="44"/>
    </row>
    <row r="28" spans="1:35" s="3" customFormat="1" ht="13.5" customHeight="1">
      <c r="A28" s="57">
        <f>COUNTA(B34,G34,L34,B40,G40,L40,B46,G46,L46,B52,G52,L52)</f>
        <v>1</v>
      </c>
      <c r="B28" s="58" t="str">
        <f>IF($A$28=0,"Bitte Typ auswählen","")</f>
        <v/>
      </c>
      <c r="C28"/>
      <c r="D28"/>
      <c r="E28"/>
      <c r="F28"/>
      <c r="G28"/>
      <c r="H28"/>
      <c r="I28" s="59" t="str">
        <f>IF($A$28&lt;=1,"","Achtung zu viele oder keine Typen ausgewählt")</f>
        <v/>
      </c>
      <c r="K28" s="29"/>
      <c r="L28" s="29"/>
      <c r="M28" s="29"/>
      <c r="N28" s="29"/>
      <c r="O28" s="29"/>
      <c r="S28" s="29"/>
      <c r="T28" s="29"/>
      <c r="U28" s="29"/>
      <c r="V28" s="29"/>
      <c r="W28" s="12"/>
      <c r="X28" s="38"/>
      <c r="AD28" s="60" t="s">
        <v>24</v>
      </c>
      <c r="AE28" s="175" t="str">
        <f>IF(A28&gt;1,"",IF(B34="x",1,IF(G34="x",2,IF(AND($Z$27&gt;70,L34="X"),3,IF(AND(Z27&gt;=80,B40="x"),4,IF(AND(Z27&gt;60,G40="X"),5,IF(AND(Z27&gt;60,L40="X"),6,IF(AND(Z27&gt;70,B46="X"),7,IF(AND(Z27&gt;70,G46="X"),8,IF(AND(Z27&gt;70,L46="X"),9,IF(AND(Z27&gt;70,B52="x"),10,IF(AND(Z27&gt;70,G52="x"),11,IF(AND(Z27&gt;70,L52="x"),12,"")))))))))))))</f>
        <v/>
      </c>
      <c r="AF28" s="176"/>
      <c r="AG28" s="176"/>
      <c r="AH28" s="176"/>
      <c r="AI28" s="62"/>
    </row>
    <row r="29" spans="1:35" s="3" customFormat="1" ht="15" customHeight="1">
      <c r="A29" s="63"/>
      <c r="B29" s="64"/>
      <c r="C29" s="64"/>
      <c r="D29" s="64"/>
      <c r="E29" s="65"/>
      <c r="F29" s="63"/>
      <c r="G29" s="84"/>
      <c r="H29" s="64"/>
      <c r="I29" s="64"/>
      <c r="J29" s="65"/>
      <c r="K29" s="63"/>
      <c r="L29" s="64"/>
      <c r="M29" s="64"/>
      <c r="N29" s="64"/>
      <c r="O29" s="65"/>
      <c r="P29" s="67"/>
      <c r="Q29" s="61"/>
      <c r="R29" s="61"/>
      <c r="S29" s="61"/>
      <c r="T29" s="61"/>
      <c r="U29" s="61"/>
      <c r="V29" s="61"/>
      <c r="W29" s="61"/>
      <c r="X29" s="61"/>
      <c r="Y29" s="29"/>
      <c r="Z29" s="12" t="s">
        <v>25</v>
      </c>
      <c r="AI29" s="66"/>
    </row>
    <row r="30" spans="1:35" s="3" customFormat="1" ht="15" customHeight="1">
      <c r="A30" s="67"/>
      <c r="B30" s="61"/>
      <c r="C30" s="61"/>
      <c r="D30" s="61"/>
      <c r="E30" s="68"/>
      <c r="F30" s="67"/>
      <c r="G30" s="38"/>
      <c r="H30" s="61"/>
      <c r="I30" s="61"/>
      <c r="J30" s="68"/>
      <c r="K30" s="67"/>
      <c r="L30" s="61"/>
      <c r="M30" s="61"/>
      <c r="N30" s="61"/>
      <c r="O30" s="68"/>
      <c r="P30" s="67"/>
      <c r="Q30" s="61"/>
      <c r="R30" s="61"/>
      <c r="S30" s="61"/>
      <c r="T30" s="61"/>
      <c r="U30" s="61"/>
      <c r="V30" s="61"/>
      <c r="W30" s="61"/>
      <c r="X30" s="61"/>
      <c r="Y30" s="29"/>
      <c r="Z30" s="12" t="s">
        <v>26</v>
      </c>
      <c r="AA30" s="19"/>
      <c r="AB30" s="19"/>
      <c r="AC30" s="19"/>
      <c r="AD30" s="19"/>
      <c r="AE30" s="135"/>
      <c r="AF30" s="195"/>
      <c r="AG30" s="195"/>
      <c r="AH30" s="195"/>
      <c r="AI30" s="55"/>
    </row>
    <row r="31" spans="1:35" s="3" customFormat="1" ht="15" customHeight="1">
      <c r="A31" s="67"/>
      <c r="B31" s="61"/>
      <c r="C31" s="61"/>
      <c r="D31" s="61"/>
      <c r="E31" s="68"/>
      <c r="F31" s="67"/>
      <c r="G31" s="61"/>
      <c r="H31" s="61"/>
      <c r="I31" s="61"/>
      <c r="J31" s="68"/>
      <c r="K31" s="67"/>
      <c r="L31" s="61"/>
      <c r="M31" s="61"/>
      <c r="N31" s="61"/>
      <c r="O31" s="68"/>
      <c r="P31" s="67"/>
      <c r="Q31" s="61"/>
      <c r="R31" s="61"/>
      <c r="S31" s="61"/>
      <c r="T31" s="61"/>
      <c r="U31" s="61"/>
      <c r="V31" s="61"/>
      <c r="W31" s="61"/>
      <c r="X31" s="61"/>
      <c r="Y31" s="29"/>
      <c r="Z31" s="12" t="s">
        <v>27</v>
      </c>
      <c r="AA31" s="19"/>
      <c r="AB31" s="19"/>
      <c r="AC31" s="19"/>
      <c r="AD31" s="19"/>
      <c r="AE31" s="160"/>
      <c r="AF31" s="151"/>
      <c r="AG31" s="151"/>
      <c r="AH31" s="151"/>
      <c r="AI31" s="56"/>
    </row>
    <row r="32" spans="1:35" s="3" customFormat="1" ht="15" customHeight="1">
      <c r="A32" s="70"/>
      <c r="E32" s="66"/>
      <c r="F32" s="70"/>
      <c r="J32" s="66"/>
      <c r="K32" s="70"/>
      <c r="O32" s="66"/>
      <c r="P32" s="70"/>
      <c r="Y32" s="29"/>
      <c r="Z32" s="54" t="s">
        <v>28</v>
      </c>
      <c r="AA32" s="19"/>
      <c r="AB32" s="19"/>
      <c r="AC32" s="19"/>
      <c r="AD32" s="19"/>
      <c r="AE32" s="96" t="str">
        <f>IF(AND(AE28&gt;1,AE30&gt;1,AE28&lt;9,AE31=""),"NW2 wählen","")</f>
        <v/>
      </c>
      <c r="AF32" s="19"/>
      <c r="AG32" s="19"/>
      <c r="AH32" s="19"/>
      <c r="AI32" s="69"/>
    </row>
    <row r="33" spans="1:39" s="3" customFormat="1" ht="15" customHeight="1">
      <c r="A33" s="70"/>
      <c r="E33" s="66"/>
      <c r="F33" s="70"/>
      <c r="J33" s="66"/>
      <c r="K33" s="70"/>
      <c r="O33" s="66"/>
      <c r="P33" s="78"/>
      <c r="S33" s="26"/>
      <c r="Y33" s="29"/>
      <c r="Z33" s="35" t="s">
        <v>29</v>
      </c>
      <c r="AA33" s="19"/>
      <c r="AB33" s="19"/>
      <c r="AC33" s="19"/>
      <c r="AD33" s="19"/>
      <c r="AE33" s="134"/>
      <c r="AF33" s="135"/>
      <c r="AG33" s="135"/>
      <c r="AH33" s="135"/>
      <c r="AI33" s="136"/>
    </row>
    <row r="34" spans="1:39" s="3" customFormat="1" ht="15" customHeight="1">
      <c r="A34" s="85"/>
      <c r="B34" s="71"/>
      <c r="C34" s="91" t="s">
        <v>31</v>
      </c>
      <c r="D34" s="73"/>
      <c r="E34" s="77"/>
      <c r="F34" s="85"/>
      <c r="G34" s="71"/>
      <c r="H34" s="91" t="s">
        <v>32</v>
      </c>
      <c r="I34" s="81"/>
      <c r="J34" s="77"/>
      <c r="K34" s="85"/>
      <c r="L34" s="71"/>
      <c r="M34" s="72" t="s">
        <v>33</v>
      </c>
      <c r="N34" s="74"/>
      <c r="O34" s="82"/>
      <c r="W34" s="26"/>
      <c r="X34" s="26"/>
      <c r="Y34" s="29"/>
      <c r="Z34" s="19" t="s">
        <v>30</v>
      </c>
      <c r="AA34" s="19"/>
      <c r="AB34" s="19"/>
      <c r="AC34" s="19"/>
      <c r="AD34" s="19"/>
      <c r="AE34" s="161"/>
      <c r="AF34" s="162"/>
      <c r="AG34" s="162"/>
      <c r="AH34" s="162"/>
      <c r="AI34" s="163"/>
    </row>
    <row r="35" spans="1:39" s="3" customFormat="1" ht="15" customHeight="1">
      <c r="A35" s="63"/>
      <c r="B35" s="64"/>
      <c r="C35" s="64"/>
      <c r="D35" s="64"/>
      <c r="E35" s="65"/>
      <c r="F35" s="63"/>
      <c r="G35" s="64"/>
      <c r="H35" s="64"/>
      <c r="I35" s="64"/>
      <c r="J35" s="65"/>
      <c r="K35" s="63"/>
      <c r="L35" s="64"/>
      <c r="M35" s="64"/>
      <c r="N35" s="64"/>
      <c r="O35" s="65"/>
      <c r="P35" s="67"/>
      <c r="Q35" s="61"/>
      <c r="R35" s="61"/>
      <c r="S35" s="61"/>
      <c r="T35" s="61"/>
      <c r="U35" s="61"/>
      <c r="V35" s="61"/>
      <c r="W35" s="61"/>
      <c r="X35" s="61"/>
      <c r="Y35" s="29"/>
      <c r="Z35" s="19" t="s">
        <v>58</v>
      </c>
      <c r="AA35" s="19"/>
      <c r="AB35" s="19"/>
      <c r="AC35" s="19"/>
      <c r="AD35" s="19"/>
      <c r="AE35" s="162" t="str">
        <f>IF(AE33="","",((AE33-AE34)*100))</f>
        <v/>
      </c>
      <c r="AF35" s="162"/>
      <c r="AG35" s="162"/>
      <c r="AH35" s="162"/>
      <c r="AI35" s="163"/>
    </row>
    <row r="36" spans="1:39" s="3" customFormat="1" ht="15" customHeight="1">
      <c r="A36" s="70"/>
      <c r="E36" s="66"/>
      <c r="F36" s="70"/>
      <c r="J36" s="66"/>
      <c r="K36" s="70"/>
      <c r="O36" s="66"/>
      <c r="P36" s="70"/>
      <c r="Y36" s="29"/>
      <c r="Z36" s="54" t="s">
        <v>35</v>
      </c>
      <c r="AA36" s="19"/>
      <c r="AB36" s="19"/>
      <c r="AC36" s="19"/>
      <c r="AD36" s="19"/>
      <c r="AE36" s="26"/>
      <c r="AF36" s="26"/>
      <c r="AG36" s="26"/>
      <c r="AH36" s="26"/>
      <c r="AI36" s="75"/>
    </row>
    <row r="37" spans="1:39" s="3" customFormat="1" ht="15" customHeight="1">
      <c r="A37" s="70"/>
      <c r="E37" s="66"/>
      <c r="F37" s="70"/>
      <c r="J37" s="66"/>
      <c r="K37" s="70"/>
      <c r="O37" s="66"/>
      <c r="P37" s="70"/>
      <c r="Y37" s="29"/>
      <c r="Z37" s="19" t="s">
        <v>36</v>
      </c>
      <c r="AA37" s="19"/>
      <c r="AB37" s="19"/>
      <c r="AC37" s="19"/>
      <c r="AD37" s="19"/>
      <c r="AE37" s="164" t="str">
        <f>IF(AND(AE28&lt;=2,Z27=70,AE30=160),54,IF(AND(AE28=5,Z27=70,AE30=160),54,IF(AND(AE28=6,Z27=70,AE30=160),54,IF(AND(AE28&lt;=2,Z27=70,AE30=200),54,IF(AND(AE28=5,Z27=70,AE30=200),54,IF(AND(AE28=6,Z27=70,AE30=200),54,IF(AE30=160,40,IF(AE30&gt;160,50,IF(AE30=125,40,"")))))))))</f>
        <v/>
      </c>
      <c r="AF37" s="164"/>
      <c r="AG37" s="164"/>
      <c r="AH37" s="164"/>
      <c r="AI37" s="165"/>
    </row>
    <row r="38" spans="1:39" s="3" customFormat="1" ht="15" customHeight="1">
      <c r="A38" s="70"/>
      <c r="E38" s="66"/>
      <c r="F38" s="70"/>
      <c r="J38" s="66"/>
      <c r="K38" s="70"/>
      <c r="O38" s="66"/>
      <c r="P38" s="67"/>
      <c r="Q38" s="61"/>
      <c r="R38" s="61"/>
      <c r="S38" s="61"/>
      <c r="T38" s="61"/>
      <c r="U38" s="61"/>
      <c r="V38" s="61"/>
      <c r="W38" s="61"/>
      <c r="X38" s="61"/>
      <c r="Y38" s="29"/>
      <c r="Z38" s="19" t="s">
        <v>37</v>
      </c>
      <c r="AE38" s="160"/>
      <c r="AF38" s="151"/>
      <c r="AG38" s="151"/>
      <c r="AH38" s="151"/>
      <c r="AI38" s="56"/>
    </row>
    <row r="39" spans="1:39" s="3" customFormat="1" ht="15" customHeight="1">
      <c r="A39" s="67"/>
      <c r="B39" s="61"/>
      <c r="C39" s="61"/>
      <c r="D39" s="61"/>
      <c r="E39" s="68"/>
      <c r="F39" s="67"/>
      <c r="G39" s="38"/>
      <c r="H39" s="61"/>
      <c r="I39" s="61"/>
      <c r="J39" s="68"/>
      <c r="K39" s="67"/>
      <c r="L39" s="61"/>
      <c r="M39" s="61"/>
      <c r="N39" s="61"/>
      <c r="O39" s="68"/>
      <c r="P39" s="67"/>
      <c r="Q39" s="61"/>
      <c r="R39" s="61"/>
      <c r="S39" s="61"/>
      <c r="T39" s="61"/>
      <c r="U39" s="61"/>
      <c r="V39" s="61"/>
      <c r="W39" s="61"/>
      <c r="X39" s="61"/>
      <c r="Y39" s="29"/>
      <c r="Z39" s="19" t="s">
        <v>37</v>
      </c>
      <c r="AE39" s="160"/>
      <c r="AF39" s="151"/>
      <c r="AG39" s="151"/>
      <c r="AH39" s="151"/>
      <c r="AI39" s="56"/>
    </row>
    <row r="40" spans="1:39" s="3" customFormat="1" ht="15" customHeight="1">
      <c r="A40" s="79"/>
      <c r="B40" s="71"/>
      <c r="C40" s="72" t="s">
        <v>34</v>
      </c>
      <c r="D40" s="76"/>
      <c r="E40" s="80"/>
      <c r="F40" s="79"/>
      <c r="G40" s="71"/>
      <c r="H40" s="72" t="s">
        <v>39</v>
      </c>
      <c r="I40" s="76"/>
      <c r="J40" s="80"/>
      <c r="K40" s="79"/>
      <c r="L40" s="71"/>
      <c r="M40" s="72" t="s">
        <v>40</v>
      </c>
      <c r="N40" s="73"/>
      <c r="O40" s="80"/>
      <c r="P40" s="70"/>
      <c r="Y40" s="29"/>
      <c r="Z40" s="19" t="s">
        <v>60</v>
      </c>
      <c r="AC40" s="35" t="str">
        <f>IF(AE40="","",IF(AE40=30,"zentr.","exz."))</f>
        <v/>
      </c>
      <c r="AE40" s="160"/>
      <c r="AF40" s="151"/>
      <c r="AG40" s="151"/>
      <c r="AH40" s="151"/>
      <c r="AI40" s="56"/>
    </row>
    <row r="41" spans="1:39" s="3" customFormat="1" ht="15" customHeight="1">
      <c r="A41" s="92"/>
      <c r="B41" s="83"/>
      <c r="C41" s="83"/>
      <c r="D41" s="83"/>
      <c r="E41" s="90"/>
      <c r="F41" s="92"/>
      <c r="G41" s="83"/>
      <c r="H41" s="83"/>
      <c r="I41" s="83"/>
      <c r="J41" s="90"/>
      <c r="K41" s="92"/>
      <c r="L41" s="83"/>
      <c r="M41" s="83"/>
      <c r="N41" s="83"/>
      <c r="O41" s="90"/>
      <c r="P41" s="70"/>
      <c r="Y41" s="29"/>
      <c r="Z41" s="19" t="s">
        <v>59</v>
      </c>
      <c r="AE41" s="160"/>
      <c r="AF41" s="151"/>
      <c r="AG41" s="151"/>
      <c r="AH41" s="151"/>
      <c r="AI41" s="56"/>
    </row>
    <row r="42" spans="1:39" s="3" customFormat="1" ht="15" customHeight="1">
      <c r="A42" s="67"/>
      <c r="B42" s="61"/>
      <c r="C42" s="61"/>
      <c r="D42" s="61"/>
      <c r="E42" s="68"/>
      <c r="F42" s="67"/>
      <c r="G42" s="38"/>
      <c r="H42" s="61"/>
      <c r="I42" s="61"/>
      <c r="J42" s="68"/>
      <c r="K42" s="67"/>
      <c r="L42" s="61"/>
      <c r="M42" s="61"/>
      <c r="N42" s="61"/>
      <c r="O42" s="68"/>
      <c r="P42" s="67"/>
      <c r="Q42" s="61"/>
      <c r="R42" s="61"/>
      <c r="S42" s="61"/>
      <c r="T42" s="61"/>
      <c r="U42" s="61"/>
      <c r="V42" s="61"/>
      <c r="W42" s="61"/>
      <c r="X42" s="61"/>
      <c r="Y42" s="29"/>
      <c r="Z42" s="19" t="s">
        <v>38</v>
      </c>
      <c r="AA42" s="19"/>
      <c r="AB42" s="19"/>
      <c r="AC42" s="19"/>
      <c r="AD42" s="19"/>
      <c r="AE42" s="160"/>
      <c r="AF42" s="151"/>
      <c r="AG42" s="151"/>
      <c r="AH42" s="151"/>
      <c r="AI42" s="56"/>
    </row>
    <row r="43" spans="1:39" s="3" customFormat="1" ht="15" customHeight="1">
      <c r="A43" s="70"/>
      <c r="E43" s="66"/>
      <c r="F43" s="70"/>
      <c r="J43" s="66"/>
      <c r="K43" s="70"/>
      <c r="O43" s="66"/>
      <c r="P43" s="67"/>
      <c r="Q43" s="61"/>
      <c r="R43" s="61"/>
      <c r="S43" s="61"/>
      <c r="T43" s="61"/>
      <c r="U43" s="61"/>
      <c r="V43" s="61"/>
      <c r="W43" s="61"/>
      <c r="X43" s="61"/>
      <c r="Y43" s="29"/>
      <c r="Z43" s="19" t="s">
        <v>43</v>
      </c>
      <c r="AA43" s="19"/>
      <c r="AB43" s="19"/>
      <c r="AC43" s="19"/>
      <c r="AD43" s="19"/>
      <c r="AE43" s="162" t="str">
        <f>IF(AE37="","",SUM(AE37:AI42))</f>
        <v/>
      </c>
      <c r="AF43" s="151"/>
      <c r="AG43" s="151"/>
      <c r="AH43" s="151"/>
      <c r="AI43" s="99"/>
    </row>
    <row r="44" spans="1:39" s="3" customFormat="1" ht="15" customHeight="1">
      <c r="A44" s="67"/>
      <c r="B44" s="61"/>
      <c r="C44" s="61"/>
      <c r="D44" s="61"/>
      <c r="E44" s="68"/>
      <c r="F44" s="67"/>
      <c r="G44" s="38"/>
      <c r="H44" s="61"/>
      <c r="I44" s="61"/>
      <c r="J44" s="68"/>
      <c r="K44" s="67"/>
      <c r="L44" s="61"/>
      <c r="M44" s="61"/>
      <c r="N44" s="61"/>
      <c r="O44" s="68"/>
      <c r="P44" s="67"/>
      <c r="Q44" s="61"/>
      <c r="R44" s="61"/>
      <c r="S44" s="61"/>
      <c r="T44" s="61"/>
      <c r="U44" s="61"/>
      <c r="V44" s="61"/>
      <c r="W44" s="61"/>
      <c r="X44" s="61"/>
      <c r="Y44" s="29"/>
      <c r="Z44" s="19" t="s">
        <v>44</v>
      </c>
      <c r="AA44" s="19"/>
      <c r="AB44" s="19"/>
      <c r="AC44" s="19"/>
      <c r="AD44" s="19"/>
      <c r="AE44" s="162" t="str">
        <f>IF(OR(AE37="",AE35=""),"",(AE35-AE43))</f>
        <v/>
      </c>
      <c r="AF44" s="151"/>
      <c r="AG44" s="151"/>
      <c r="AH44" s="151"/>
      <c r="AI44" s="99"/>
    </row>
    <row r="45" spans="1:39" s="3" customFormat="1" ht="15" customHeight="1">
      <c r="A45" s="33"/>
      <c r="D45" s="26"/>
      <c r="E45" s="75"/>
      <c r="F45" s="78"/>
      <c r="G45" s="29"/>
      <c r="J45" s="66"/>
      <c r="K45" s="78"/>
      <c r="L45" s="26"/>
      <c r="M45" s="29"/>
      <c r="O45" s="66"/>
      <c r="P45" s="70"/>
      <c r="Z45" s="19" t="s">
        <v>54</v>
      </c>
      <c r="AA45" s="5"/>
      <c r="AB45" s="5"/>
      <c r="AC45" s="5"/>
      <c r="AD45" s="5"/>
      <c r="AE45" s="193" t="str">
        <f>IF(AE43="","",SUM(AE43:AI44)+(AB47))</f>
        <v/>
      </c>
      <c r="AF45" s="194"/>
      <c r="AG45" s="194"/>
      <c r="AH45" s="194"/>
      <c r="AI45" s="98"/>
    </row>
    <row r="46" spans="1:39" s="3" customFormat="1" ht="15" customHeight="1">
      <c r="A46" s="79"/>
      <c r="B46" s="71"/>
      <c r="C46" s="72" t="s">
        <v>41</v>
      </c>
      <c r="D46" s="73"/>
      <c r="E46" s="80"/>
      <c r="F46" s="79"/>
      <c r="G46" s="71"/>
      <c r="H46" s="72" t="s">
        <v>42</v>
      </c>
      <c r="I46" s="76"/>
      <c r="J46" s="80"/>
      <c r="K46" s="79"/>
      <c r="L46" s="71" t="s">
        <v>61</v>
      </c>
      <c r="M46" s="72" t="s">
        <v>45</v>
      </c>
      <c r="N46" s="76"/>
      <c r="O46" s="80"/>
      <c r="P46" s="70"/>
      <c r="AE46" s="187" t="str">
        <f>IF($AE$41="","","Abdeckpl.BK")</f>
        <v/>
      </c>
      <c r="AF46" s="188"/>
      <c r="AG46" s="188"/>
      <c r="AH46" s="188"/>
      <c r="AI46" s="189"/>
      <c r="AM46" s="39"/>
    </row>
    <row r="47" spans="1:39" s="3" customFormat="1" ht="15.95" customHeight="1">
      <c r="A47" s="93"/>
      <c r="B47" s="94"/>
      <c r="C47" s="94"/>
      <c r="D47" s="94"/>
      <c r="E47" s="95"/>
      <c r="F47" s="93"/>
      <c r="G47" s="94"/>
      <c r="H47" s="94"/>
      <c r="I47" s="94"/>
      <c r="J47" s="95"/>
      <c r="K47" s="93"/>
      <c r="L47" s="94"/>
      <c r="M47" s="94"/>
      <c r="N47" s="94"/>
      <c r="O47" s="95"/>
      <c r="P47" s="29"/>
      <c r="Z47" s="89" t="s">
        <v>55</v>
      </c>
      <c r="AA47" s="89"/>
      <c r="AB47" s="198" t="str">
        <f>IF($Z$27&gt;=1,10,"")</f>
        <v/>
      </c>
      <c r="AC47" s="199"/>
      <c r="AD47" s="199"/>
      <c r="AE47" s="100"/>
      <c r="AF47" s="190" t="str">
        <f>IF($AE$41=10,"BK C250","")</f>
        <v/>
      </c>
      <c r="AG47" s="191"/>
      <c r="AH47" s="191"/>
      <c r="AI47" s="192"/>
    </row>
    <row r="48" spans="1:39" s="3" customFormat="1" ht="15.95" customHeight="1">
      <c r="A48" s="70"/>
      <c r="E48" s="66"/>
      <c r="F48" s="70"/>
      <c r="J48" s="66"/>
      <c r="K48" s="70"/>
      <c r="O48" s="66"/>
      <c r="Z48" s="89" t="s">
        <v>56</v>
      </c>
      <c r="AA48" s="89"/>
      <c r="AB48" s="198" t="str">
        <f>IF($Z$27=60,13,IF($Z$27=70,13,IF($Z$27=80,14,IF($Z$27=100,15,""))))</f>
        <v/>
      </c>
      <c r="AC48" s="199"/>
      <c r="AD48" s="199"/>
      <c r="AE48" s="100"/>
      <c r="AF48" s="190" t="str">
        <f>IF(OR($AE$41=10,$AE$41=6),"BK B125","")</f>
        <v/>
      </c>
      <c r="AG48" s="191"/>
      <c r="AH48" s="191"/>
      <c r="AI48" s="192"/>
    </row>
    <row r="49" spans="1:35" s="3" customFormat="1" ht="15.95" customHeight="1">
      <c r="A49" s="70"/>
      <c r="E49" s="66"/>
      <c r="F49" s="70"/>
      <c r="J49" s="66"/>
      <c r="K49" s="70"/>
      <c r="O49" s="66"/>
      <c r="Q49" s="177" t="s">
        <v>49</v>
      </c>
      <c r="R49" s="178"/>
      <c r="S49" s="178"/>
      <c r="T49" s="178"/>
      <c r="U49" s="178"/>
      <c r="V49" s="178"/>
      <c r="W49" s="179"/>
      <c r="X49" s="26"/>
      <c r="Y49" s="29"/>
      <c r="Z49" s="89" t="s">
        <v>57</v>
      </c>
      <c r="AA49" s="89"/>
      <c r="AB49" s="198" t="str">
        <f>IF(AND($Z$27=60,AE28=2,$AE$30=125),16,IF(AND($Z$27=60,$AE$28=2,$AE$30=160),17,IF(AND($Z$27=70,$AE$28=2,$AE$30=160),17,IF(AND($Z$27=70,$AE$28=2,$AE$30=200),18,IF(AND($Z$27=80,$AE$28=2,$AE$30&lt;=160),17,IF(AND($Z$27=80,$AE$28=3,$AE$30=160),17,IF(AND($Z$27=80,$AE$28=4,$AE$30=160),17,IF(AND($Z$27=80,$AE$28=5,$AE$30=160),17,IF(AND($Z$27=80,$AE$28=6,$AE$30=160),17,IF(AND($Z$27=80,$AE$28=7,$AE$30=160),17,IF(AND($Z$27=80,$AE$28=8,$AE$30=160),17,IF(AND($Z$27=80,$AE$28=2,$AE$30&lt;=200,$AE$31=200),18,IF(AND($Z$27=80,$AE$28=3,$AE$30=200,$AE$31=200),18,IF(AND($Z$27=80,$AE$28=4,$AE$30=200,$AE$31=200),18,IF(AND($Z$27=80,$AE$28=5,$AE$30=200,$AE$31=200),18,IF(AND($Z$27=80,$AE$28=6,$AE$30=200,$AE$31=200),18,IF(AND($Z$27=80,$AE$28=7,$AE$30=200,$AE$31=200),18,IF(AND($Z$27=80,$AE$28=8,$AE$30=200,$AE$31=200),18,IF(AND($Z$27=80,$AE$28=2,$AE$30&lt;=200,$AE$31=160),19,IF(AND($Z$27=80,$AE$28=3,$AE$30=200,$AE$31=160),19,IF(AND($Z$27=80,$AE$28=4,$AE$30=200,$AE$31=160),19,IF(AND($Z$27=80,$AE$28=5,$AE$30=200,$AE$31=160),19,IF(AND($Z$27=80,$AE$28=6,$AE$30=200,$AE$31=160),19,IF(AND($Z$27=80,$AE$28=7,$AE$30=200,$AE$31=160),19,IF(AND($Z$27=80,$AE$28=8,$AE$30=200,$AE$31=160),18,IF(AND($Z$27=100,$AE$28=2,$AE$30=160,$AE$31=125),20,IF(AND($Z$27=100,$AE$28&gt;=2,$AE$28&lt;=8,$AE$30&lt;=160,$AE$31&gt;=160),18,IF(AND($Z$27=100,$AE$28&gt;=2,$AE$28&lt;=8,$AE$30=200,$AE$31=160),20,IF(AND($Z$27=100,$AE$28&gt;=2,$AE$28&lt;=8,$AE$30=200,$AE$31=200),19,IF(AND($Z$27=100,$AE$28&gt;=2,$AE$28&lt;=8,$AE$30=250,$AE$31=160),20,IF(AND($Z$27=100,$AE$28&gt;=2,$AE$28&lt;=8,$AE$30=250,$AE$31=250),20,"")))))))))))))))))))))))))))))))</f>
        <v/>
      </c>
      <c r="AC49" s="199"/>
      <c r="AD49" s="199"/>
      <c r="AI49" s="66"/>
    </row>
    <row r="50" spans="1:35" s="3" customFormat="1" ht="15.95" customHeight="1">
      <c r="A50" s="70"/>
      <c r="E50" s="66"/>
      <c r="F50" s="70"/>
      <c r="J50" s="66"/>
      <c r="K50" s="70"/>
      <c r="O50" s="66"/>
      <c r="Q50" s="178"/>
      <c r="R50" s="178"/>
      <c r="S50" s="178"/>
      <c r="T50" s="178"/>
      <c r="U50" s="178"/>
      <c r="V50" s="178"/>
      <c r="W50" s="179"/>
      <c r="Y50" s="34" t="s">
        <v>50</v>
      </c>
      <c r="Z50" s="39"/>
      <c r="AA50" s="39"/>
      <c r="AB50" s="39"/>
      <c r="AC50" s="39"/>
      <c r="AD50" s="39"/>
      <c r="AE50" s="34" t="s">
        <v>51</v>
      </c>
      <c r="AF50" s="39"/>
      <c r="AG50" s="39"/>
      <c r="AH50" s="39"/>
      <c r="AI50" s="66"/>
    </row>
    <row r="51" spans="1:35" s="3" customFormat="1" ht="15.95" customHeight="1">
      <c r="A51" s="70"/>
      <c r="E51" s="66"/>
      <c r="F51" s="70"/>
      <c r="J51" s="66"/>
      <c r="K51" s="70"/>
      <c r="O51" s="66"/>
      <c r="Q51" s="34" t="s">
        <v>14</v>
      </c>
      <c r="R51" s="61"/>
      <c r="S51" s="61"/>
      <c r="T51" s="61"/>
      <c r="U51" s="61"/>
      <c r="Y51" s="181"/>
      <c r="Z51" s="195"/>
      <c r="AA51" s="195"/>
      <c r="AB51" s="195"/>
      <c r="AC51" s="195"/>
      <c r="AD51" s="61"/>
      <c r="AE51" s="181"/>
      <c r="AF51" s="182"/>
      <c r="AG51" s="182"/>
      <c r="AH51" s="182"/>
      <c r="AI51" s="183"/>
    </row>
    <row r="52" spans="1:35" s="3" customFormat="1" ht="15.95" customHeight="1">
      <c r="A52" s="85"/>
      <c r="B52" s="71"/>
      <c r="C52" s="72" t="s">
        <v>46</v>
      </c>
      <c r="D52" s="73"/>
      <c r="E52" s="82"/>
      <c r="F52" s="85"/>
      <c r="G52" s="71"/>
      <c r="H52" s="72" t="s">
        <v>47</v>
      </c>
      <c r="I52" s="81"/>
      <c r="J52" s="82"/>
      <c r="K52" s="85"/>
      <c r="L52" s="71"/>
      <c r="M52" s="72" t="s">
        <v>48</v>
      </c>
      <c r="N52" s="81"/>
      <c r="O52" s="82"/>
      <c r="Q52" s="29" t="s">
        <v>53</v>
      </c>
      <c r="R52" s="61"/>
      <c r="S52" s="61"/>
      <c r="T52" s="61"/>
      <c r="U52" s="61"/>
      <c r="Y52" s="200"/>
      <c r="Z52" s="201"/>
      <c r="AA52" s="201"/>
      <c r="AB52" s="201"/>
      <c r="AC52" s="201"/>
      <c r="AD52" s="61"/>
      <c r="AE52" s="184"/>
      <c r="AF52" s="185"/>
      <c r="AG52" s="185"/>
      <c r="AH52" s="185"/>
      <c r="AI52" s="186"/>
    </row>
    <row r="53" spans="1:35" s="3" customFormat="1" ht="15.95" customHeight="1">
      <c r="Q53" s="97" t="s">
        <v>52</v>
      </c>
      <c r="R53" s="76"/>
      <c r="S53" s="76"/>
      <c r="T53" s="76"/>
      <c r="U53" s="76"/>
      <c r="V53" s="81"/>
      <c r="W53" s="81"/>
      <c r="Y53" s="202"/>
      <c r="Z53" s="151"/>
      <c r="AA53" s="151"/>
      <c r="AB53" s="151"/>
      <c r="AC53" s="151"/>
      <c r="AD53" s="61"/>
      <c r="AE53" s="181"/>
      <c r="AF53" s="182"/>
      <c r="AG53" s="182"/>
      <c r="AH53" s="182"/>
      <c r="AI53" s="183"/>
    </row>
    <row r="54" spans="1:35" s="3" customFormat="1" ht="3" customHeight="1">
      <c r="A54" s="86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8"/>
    </row>
    <row r="55" spans="1:35" s="6" customFormat="1" ht="16.899999999999999" customHeight="1">
      <c r="A55" s="20" t="s">
        <v>15</v>
      </c>
      <c r="B55" s="21"/>
      <c r="C55" s="21"/>
      <c r="D55" s="21"/>
      <c r="E55" s="21"/>
      <c r="F55" s="18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1"/>
    </row>
    <row r="56" spans="1:35" s="6" customFormat="1" ht="16.899999999999999" customHeight="1">
      <c r="A56" s="20"/>
      <c r="B56" s="21"/>
      <c r="C56" s="21"/>
      <c r="D56" s="21"/>
      <c r="E56" s="21"/>
      <c r="F56" s="18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1"/>
    </row>
    <row r="57" spans="1:35" s="6" customFormat="1" ht="2.1" customHeight="1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4"/>
    </row>
    <row r="58" spans="1:35" s="6" customFormat="1" ht="2.1" customHeight="1">
      <c r="A58" s="196"/>
      <c r="B58" s="197"/>
      <c r="C58" s="197"/>
      <c r="D58" s="197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4"/>
    </row>
    <row r="59" spans="1:35">
      <c r="A59" s="25" t="s">
        <v>62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</row>
    <row r="60" spans="1:35"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F60" s="25"/>
      <c r="AG60" s="29"/>
      <c r="AH60" s="29"/>
      <c r="AI60" s="29"/>
    </row>
  </sheetData>
  <sheetProtection algorithmName="SHA-512" hashValue="J3VLMjDyBlZ5fwGm8FixD4U/HrINA2etHV0tOHvtzKb1bW+6jyQyPVJA5fyuAma6mdVhhNemCg/DgxB4zCUtRA==" saltValue="kZC+NLbupewZYfQO8cF8/w==" spinCount="100000" sheet="1" objects="1" scenarios="1"/>
  <protectedRanges>
    <protectedRange sqref="AE47:AE48" name="Bereich26"/>
    <protectedRange sqref="F27:P27" name="Bereich19"/>
    <protectedRange sqref="U23:W23" name="Bereich17"/>
    <protectedRange sqref="X15:AI15" name="Bereich12"/>
    <protectedRange sqref="J8:P8" name="Bereich10"/>
    <protectedRange sqref="A9:P11" name="Bereich3"/>
    <protectedRange sqref="E12:P14" name="Bereich4"/>
    <protectedRange sqref="R9:AI11" name="Bereich6"/>
    <protectedRange sqref="V12:AI14" name="Bereich7"/>
    <protectedRange sqref="AD8:AI8" name="Bereich9"/>
    <protectedRange sqref="G15:P15" name="Bereich11"/>
    <protectedRange sqref="J19:K19 J21:K21 J17:K17" name="Bereich13"/>
    <protectedRange sqref="B23:H23 B25:H25" name="Bereich14"/>
    <protectedRange sqref="J25:P25" name="Bereich15"/>
    <protectedRange sqref="R21:W21" name="Bereich16"/>
    <protectedRange sqref="Z19 Z21 Z23 Z25 Z17" name="Bereich18"/>
    <protectedRange sqref="Z27:AH27" name="Bereich20"/>
    <protectedRange sqref="X17:AI17" name="Bereich32"/>
    <protectedRange sqref="Y51:AC53" name="Bereich15_1"/>
    <protectedRange sqref="AE33:AI34" name="Bereich13_2"/>
    <protectedRange sqref="AE30:AI31" name="Bereich12_1"/>
    <protectedRange sqref="AE38:AI42" name="Bereich14_2"/>
    <protectedRange sqref="AE51:AH53" name="Bereich16_2"/>
    <protectedRange sqref="B34 L34 G40 G34 B40 L46 B52 G52 L52 L40 B46 G46" name="Bereich18_1"/>
    <protectedRange sqref="F55:AI56" name="Bereich31_1"/>
    <protectedRange sqref="AE51:AI53" name="Bereich25"/>
  </protectedRanges>
  <dataConsolidate/>
  <mergeCells count="72">
    <mergeCell ref="A58:D58"/>
    <mergeCell ref="AB47:AD47"/>
    <mergeCell ref="AB48:AD48"/>
    <mergeCell ref="Y51:AC51"/>
    <mergeCell ref="Y52:AC52"/>
    <mergeCell ref="Y53:AC53"/>
    <mergeCell ref="AB49:AD49"/>
    <mergeCell ref="Z27:AH27"/>
    <mergeCell ref="AE28:AH28"/>
    <mergeCell ref="Q49:W50"/>
    <mergeCell ref="F55:AI55"/>
    <mergeCell ref="F56:AI56"/>
    <mergeCell ref="AE51:AI51"/>
    <mergeCell ref="AE52:AI52"/>
    <mergeCell ref="AE53:AI53"/>
    <mergeCell ref="AE46:AI46"/>
    <mergeCell ref="AF47:AI47"/>
    <mergeCell ref="AF48:AI48"/>
    <mergeCell ref="AE43:AH43"/>
    <mergeCell ref="AE44:AH44"/>
    <mergeCell ref="AE45:AH45"/>
    <mergeCell ref="AE30:AH30"/>
    <mergeCell ref="AE31:AH31"/>
    <mergeCell ref="B17:P17"/>
    <mergeCell ref="R17:W17"/>
    <mergeCell ref="E13:P13"/>
    <mergeCell ref="A13:D13"/>
    <mergeCell ref="A14:D14"/>
    <mergeCell ref="R14:U14"/>
    <mergeCell ref="V14:AI14"/>
    <mergeCell ref="X17:AH17"/>
    <mergeCell ref="X15:AI15"/>
    <mergeCell ref="AE39:AH39"/>
    <mergeCell ref="AE40:AH40"/>
    <mergeCell ref="AE42:AH42"/>
    <mergeCell ref="AE34:AI34"/>
    <mergeCell ref="AE35:AI35"/>
    <mergeCell ref="AE37:AI37"/>
    <mergeCell ref="AE38:AH38"/>
    <mergeCell ref="AE41:AH41"/>
    <mergeCell ref="AE33:AI33"/>
    <mergeCell ref="A6:Q7"/>
    <mergeCell ref="R9:AI9"/>
    <mergeCell ref="R10:AI10"/>
    <mergeCell ref="R11:AI11"/>
    <mergeCell ref="V12:AI12"/>
    <mergeCell ref="A12:D12"/>
    <mergeCell ref="R12:U12"/>
    <mergeCell ref="E12:P12"/>
    <mergeCell ref="A10:P10"/>
    <mergeCell ref="A11:P11"/>
    <mergeCell ref="R6:AI7"/>
    <mergeCell ref="J8:P8"/>
    <mergeCell ref="R8:Z8"/>
    <mergeCell ref="AA8:AC8"/>
    <mergeCell ref="AD8:AI8"/>
    <mergeCell ref="A9:P9"/>
    <mergeCell ref="F27:P27"/>
    <mergeCell ref="A15:F15"/>
    <mergeCell ref="R15:W15"/>
    <mergeCell ref="V13:AI13"/>
    <mergeCell ref="R13:U13"/>
    <mergeCell ref="G15:P15"/>
    <mergeCell ref="B23:H23"/>
    <mergeCell ref="B25:H25"/>
    <mergeCell ref="J19:K19"/>
    <mergeCell ref="J25:P25"/>
    <mergeCell ref="J21:K21"/>
    <mergeCell ref="E14:P14"/>
    <mergeCell ref="R19:Y19"/>
    <mergeCell ref="R21:W21"/>
    <mergeCell ref="U23:W23"/>
  </mergeCells>
  <phoneticPr fontId="3" type="noConversion"/>
  <dataValidations count="18">
    <dataValidation type="list" showInputMessage="1" showErrorMessage="1" sqref="B23:H23" xr:uid="{BD7B4F01-E019-4FD9-95B6-403032172347}">
      <formula1>",ohne Kran,mit Kran"</formula1>
    </dataValidation>
    <dataValidation type="list" allowBlank="1" showInputMessage="1" showErrorMessage="1" sqref="B25:H25" xr:uid="{AC0E6002-8BD9-4CCB-8B4E-55CE8D972ADA}">
      <formula1>"mit Anhänger,ohne Anhänger/Solo,4/5-Achser,Sattelschlepper"</formula1>
    </dataValidation>
    <dataValidation type="list" allowBlank="1" showInputMessage="1" showErrorMessage="1" sqref="J19" xr:uid="{1A4EA8D4-0042-4DDC-A8E8-4ECFE3BD8566}">
      <formula1>"ja,nein"</formula1>
    </dataValidation>
    <dataValidation type="list" allowBlank="1" showInputMessage="1" showErrorMessage="1" sqref="J21" xr:uid="{8DA5EE69-540F-4892-9B32-15AD1139EBBA}">
      <formula1>",,,X"</formula1>
    </dataValidation>
    <dataValidation type="list" allowBlank="1" showInputMessage="1" showErrorMessage="1" sqref="R21 X21:Y21" xr:uid="{4CE183EB-7535-4083-B732-778490DE1ECD}">
      <formula1>"gelegentlich,13.00 - 15.00 Uhr, bis 12.00 Uhr, 07.00 - 9.00 Uhr,Fixzeit Toleranz 30 Min."</formula1>
    </dataValidation>
    <dataValidation type="list" allowBlank="1" showInputMessage="1" showErrorMessage="1" sqref="Z19 Z21 Z23 Z25 AT34 AE47:AE48" xr:uid="{6B64EB9F-8B54-441B-965A-C49D61B92512}">
      <formula1>"X"</formula1>
    </dataValidation>
    <dataValidation type="list" allowBlank="1" showInputMessage="1" showErrorMessage="1" sqref="AI17" xr:uid="{6A10B306-F9FD-49B0-9FF1-39DC1AEF2CB6}">
      <formula1>"Werk Brugg 71 ,Werk Lyss 11"</formula1>
    </dataValidation>
    <dataValidation showInputMessage="1" showErrorMessage="1" sqref="J25:P25" xr:uid="{458E6D7C-7809-4340-B54B-4AA65902A84E}"/>
    <dataValidation type="list" allowBlank="1" showInputMessage="1" showErrorMessage="1" sqref="X17:AH17" xr:uid="{A76CFEBC-9745-47D2-867D-96C15DD8F832}">
      <formula1>"Werk Brugg 71,Werk Lyss 11"</formula1>
    </dataValidation>
    <dataValidation type="list" allowBlank="1" showInputMessage="1" showErrorMessage="1" sqref="AE30:AH30" xr:uid="{465B18CB-8A29-4CDC-9E33-1ECD2D93F103}">
      <formula1>$A$1:$O$1</formula1>
    </dataValidation>
    <dataValidation type="list" allowBlank="1" showInputMessage="1" showErrorMessage="1" sqref="Z27:AH27" xr:uid="{00000000-0002-0000-0000-000004000000}">
      <formula1>$A$4:$E$4</formula1>
    </dataValidation>
    <dataValidation type="list" allowBlank="1" showInputMessage="1" showErrorMessage="1" sqref="AE31:AH31" xr:uid="{CA564BE7-635C-42B3-AE86-48DEEA81AC79}">
      <formula1>$B$2:$E$2</formula1>
    </dataValidation>
    <dataValidation type="list" allowBlank="1" showInputMessage="1" showErrorMessage="1" sqref="AE42:AH42" xr:uid="{99C1425D-53D3-41EB-A297-6D58E94FA889}">
      <formula1>$S$2:$AI$2</formula1>
    </dataValidation>
    <dataValidation type="list" allowBlank="1" showInputMessage="1" showErrorMessage="1" sqref="B34 G34" xr:uid="{88F065E2-3060-48DE-ADF0-1F568A52E444}">
      <formula1>$G$4:$H$4</formula1>
    </dataValidation>
    <dataValidation type="list" allowBlank="1" showInputMessage="1" showErrorMessage="1" sqref="L34 B40 L46 B52 G52 L52 B46 G46" xr:uid="{53BF331F-4B3B-4463-B938-325900194471}">
      <formula1>$G$5:$H$5</formula1>
    </dataValidation>
    <dataValidation type="list" allowBlank="1" showInputMessage="1" showErrorMessage="1" sqref="G40 L40" xr:uid="{86FE5C58-1041-41AB-973A-D8792DE035E7}">
      <formula1>$I$5:$J$5</formula1>
    </dataValidation>
    <dataValidation type="list" allowBlank="1" showInputMessage="1" showErrorMessage="1" sqref="AE40:AH40" xr:uid="{0FB05ADE-7E2D-417F-BED8-1E63069835D5}">
      <formula1>$J$4:$P$4</formula1>
    </dataValidation>
    <dataValidation type="list" allowBlank="1" showInputMessage="1" showErrorMessage="1" sqref="AE41:AH41" xr:uid="{29E86EFC-F562-4126-8216-9EA0C61120C1}">
      <formula1>$R$4:$T$4</formula1>
    </dataValidation>
  </dataValidations>
  <printOptions horizontalCentered="1" verticalCentered="1"/>
  <pageMargins left="0.51181102362204722" right="0.55118110236220474" top="1.1811023622047245" bottom="0.39370078740157483" header="0.39370078740157483" footer="0.39370078740157483"/>
  <pageSetup paperSize="9" scale="98" orientation="portrait" r:id="rId1"/>
  <headerFooter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521" r:id="rId5">
          <objectPr defaultSize="0" autoPict="0" r:id="rId6">
            <anchor moveWithCells="1" sizeWithCells="1">
              <from>
                <xdr:col>0</xdr:col>
                <xdr:colOff>0</xdr:colOff>
                <xdr:row>29</xdr:row>
                <xdr:rowOff>0</xdr:rowOff>
              </from>
              <to>
                <xdr:col>5</xdr:col>
                <xdr:colOff>9525</xdr:colOff>
                <xdr:row>31</xdr:row>
                <xdr:rowOff>133350</xdr:rowOff>
              </to>
            </anchor>
          </objectPr>
        </oleObject>
      </mc:Choice>
      <mc:Fallback>
        <oleObject progId="AutoSketch.Drawing.9" shapeId="1521" r:id="rId5"/>
      </mc:Fallback>
    </mc:AlternateContent>
    <mc:AlternateContent xmlns:mc="http://schemas.openxmlformats.org/markup-compatibility/2006">
      <mc:Choice Requires="x14">
        <oleObject progId="AutoSketch.Drawing.9" shapeId="1522" r:id="rId7">
          <objectPr defaultSize="0" autoPict="0" r:id="rId8">
            <anchor moveWithCells="1">
              <from>
                <xdr:col>10</xdr:col>
                <xdr:colOff>38100</xdr:colOff>
                <xdr:row>28</xdr:row>
                <xdr:rowOff>104775</xdr:rowOff>
              </from>
              <to>
                <xdr:col>14</xdr:col>
                <xdr:colOff>133350</xdr:colOff>
                <xdr:row>32</xdr:row>
                <xdr:rowOff>142875</xdr:rowOff>
              </to>
            </anchor>
          </objectPr>
        </oleObject>
      </mc:Choice>
      <mc:Fallback>
        <oleObject progId="AutoSketch.Drawing.9" shapeId="1522" r:id="rId7"/>
      </mc:Fallback>
    </mc:AlternateContent>
    <mc:AlternateContent xmlns:mc="http://schemas.openxmlformats.org/markup-compatibility/2006">
      <mc:Choice Requires="x14">
        <oleObject progId="AutoSketch.Drawing.9" shapeId="1523" r:id="rId9">
          <objectPr defaultSize="0" autoPict="0" r:id="rId10">
            <anchor moveWithCells="1">
              <from>
                <xdr:col>0</xdr:col>
                <xdr:colOff>38100</xdr:colOff>
                <xdr:row>34</xdr:row>
                <xdr:rowOff>66675</xdr:rowOff>
              </from>
              <to>
                <xdr:col>4</xdr:col>
                <xdr:colOff>133350</xdr:colOff>
                <xdr:row>38</xdr:row>
                <xdr:rowOff>57150</xdr:rowOff>
              </to>
            </anchor>
          </objectPr>
        </oleObject>
      </mc:Choice>
      <mc:Fallback>
        <oleObject progId="AutoSketch.Drawing.9" shapeId="1523" r:id="rId9"/>
      </mc:Fallback>
    </mc:AlternateContent>
    <mc:AlternateContent xmlns:mc="http://schemas.openxmlformats.org/markup-compatibility/2006">
      <mc:Choice Requires="x14">
        <oleObject progId="AutoSketch.Drawing.9" shapeId="1524" r:id="rId11">
          <objectPr defaultSize="0" autoPict="0" r:id="rId12">
            <anchor moveWithCells="1">
              <from>
                <xdr:col>5</xdr:col>
                <xdr:colOff>9525</xdr:colOff>
                <xdr:row>35</xdr:row>
                <xdr:rowOff>28575</xdr:rowOff>
              </from>
              <to>
                <xdr:col>9</xdr:col>
                <xdr:colOff>171450</xdr:colOff>
                <xdr:row>38</xdr:row>
                <xdr:rowOff>95250</xdr:rowOff>
              </to>
            </anchor>
          </objectPr>
        </oleObject>
      </mc:Choice>
      <mc:Fallback>
        <oleObject progId="AutoSketch.Drawing.9" shapeId="1524" r:id="rId11"/>
      </mc:Fallback>
    </mc:AlternateContent>
    <mc:AlternateContent xmlns:mc="http://schemas.openxmlformats.org/markup-compatibility/2006">
      <mc:Choice Requires="x14">
        <oleObject progId="AutoSketch.Drawing.9" shapeId="1525" r:id="rId13">
          <objectPr defaultSize="0" autoPict="0" r:id="rId14">
            <anchor moveWithCells="1">
              <from>
                <xdr:col>9</xdr:col>
                <xdr:colOff>171450</xdr:colOff>
                <xdr:row>34</xdr:row>
                <xdr:rowOff>152400</xdr:rowOff>
              </from>
              <to>
                <xdr:col>14</xdr:col>
                <xdr:colOff>171450</xdr:colOff>
                <xdr:row>38</xdr:row>
                <xdr:rowOff>57150</xdr:rowOff>
              </to>
            </anchor>
          </objectPr>
        </oleObject>
      </mc:Choice>
      <mc:Fallback>
        <oleObject progId="AutoSketch.Drawing.9" shapeId="1525" r:id="rId13"/>
      </mc:Fallback>
    </mc:AlternateContent>
    <mc:AlternateContent xmlns:mc="http://schemas.openxmlformats.org/markup-compatibility/2006">
      <mc:Choice Requires="x14">
        <oleObject progId="AutoSketch.Drawing.9" shapeId="1526" r:id="rId15">
          <objectPr defaultSize="0" autoPict="0" r:id="rId16">
            <anchor moveWithCells="1">
              <from>
                <xdr:col>0</xdr:col>
                <xdr:colOff>0</xdr:colOff>
                <xdr:row>40</xdr:row>
                <xdr:rowOff>180975</xdr:rowOff>
              </from>
              <to>
                <xdr:col>5</xdr:col>
                <xdr:colOff>19050</xdr:colOff>
                <xdr:row>44</xdr:row>
                <xdr:rowOff>171450</xdr:rowOff>
              </to>
            </anchor>
          </objectPr>
        </oleObject>
      </mc:Choice>
      <mc:Fallback>
        <oleObject progId="AutoSketch.Drawing.9" shapeId="1526" r:id="rId15"/>
      </mc:Fallback>
    </mc:AlternateContent>
    <mc:AlternateContent xmlns:mc="http://schemas.openxmlformats.org/markup-compatibility/2006">
      <mc:Choice Requires="x14">
        <oleObject progId="AutoSketch.Drawing.9" shapeId="1527" r:id="rId17">
          <objectPr defaultSize="0" autoPict="0" r:id="rId18">
            <anchor moveWithCells="1">
              <from>
                <xdr:col>5</xdr:col>
                <xdr:colOff>19050</xdr:colOff>
                <xdr:row>40</xdr:row>
                <xdr:rowOff>28575</xdr:rowOff>
              </from>
              <to>
                <xdr:col>10</xdr:col>
                <xdr:colOff>19050</xdr:colOff>
                <xdr:row>44</xdr:row>
                <xdr:rowOff>28575</xdr:rowOff>
              </to>
            </anchor>
          </objectPr>
        </oleObject>
      </mc:Choice>
      <mc:Fallback>
        <oleObject progId="AutoSketch.Drawing.9" shapeId="1527" r:id="rId17"/>
      </mc:Fallback>
    </mc:AlternateContent>
    <mc:AlternateContent xmlns:mc="http://schemas.openxmlformats.org/markup-compatibility/2006">
      <mc:Choice Requires="x14">
        <oleObject progId="AutoSketch.Drawing.9" shapeId="1528" r:id="rId19">
          <objectPr defaultSize="0" autoPict="0" r:id="rId20">
            <anchor moveWithCells="1">
              <from>
                <xdr:col>10</xdr:col>
                <xdr:colOff>57150</xdr:colOff>
                <xdr:row>40</xdr:row>
                <xdr:rowOff>104775</xdr:rowOff>
              </from>
              <to>
                <xdr:col>14</xdr:col>
                <xdr:colOff>133350</xdr:colOff>
                <xdr:row>44</xdr:row>
                <xdr:rowOff>171450</xdr:rowOff>
              </to>
            </anchor>
          </objectPr>
        </oleObject>
      </mc:Choice>
      <mc:Fallback>
        <oleObject progId="AutoSketch.Drawing.9" shapeId="1528" r:id="rId19"/>
      </mc:Fallback>
    </mc:AlternateContent>
    <mc:AlternateContent xmlns:mc="http://schemas.openxmlformats.org/markup-compatibility/2006">
      <mc:Choice Requires="x14">
        <oleObject progId="AutoSketch.Drawing.9" shapeId="1529" r:id="rId21">
          <objectPr defaultSize="0" autoPict="0" r:id="rId22">
            <anchor moveWithCells="1">
              <from>
                <xdr:col>0</xdr:col>
                <xdr:colOff>19050</xdr:colOff>
                <xdr:row>46</xdr:row>
                <xdr:rowOff>66675</xdr:rowOff>
              </from>
              <to>
                <xdr:col>4</xdr:col>
                <xdr:colOff>114300</xdr:colOff>
                <xdr:row>50</xdr:row>
                <xdr:rowOff>95250</xdr:rowOff>
              </to>
            </anchor>
          </objectPr>
        </oleObject>
      </mc:Choice>
      <mc:Fallback>
        <oleObject progId="AutoSketch.Drawing.9" shapeId="1529" r:id="rId21"/>
      </mc:Fallback>
    </mc:AlternateContent>
    <mc:AlternateContent xmlns:mc="http://schemas.openxmlformats.org/markup-compatibility/2006">
      <mc:Choice Requires="x14">
        <oleObject progId="AutoSketch.Drawing.9" shapeId="1530" r:id="rId23">
          <objectPr defaultSize="0" autoPict="0" r:id="rId24">
            <anchor moveWithCells="1">
              <from>
                <xdr:col>4</xdr:col>
                <xdr:colOff>171450</xdr:colOff>
                <xdr:row>46</xdr:row>
                <xdr:rowOff>152400</xdr:rowOff>
              </from>
              <to>
                <xdr:col>9</xdr:col>
                <xdr:colOff>152400</xdr:colOff>
                <xdr:row>50</xdr:row>
                <xdr:rowOff>171450</xdr:rowOff>
              </to>
            </anchor>
          </objectPr>
        </oleObject>
      </mc:Choice>
      <mc:Fallback>
        <oleObject progId="AutoSketch.Drawing.9" shapeId="1530" r:id="rId23"/>
      </mc:Fallback>
    </mc:AlternateContent>
    <mc:AlternateContent xmlns:mc="http://schemas.openxmlformats.org/markup-compatibility/2006">
      <mc:Choice Requires="x14">
        <oleObject progId="AutoSketch.Drawing.9" shapeId="1531" r:id="rId25">
          <objectPr defaultSize="0" autoPict="0" r:id="rId26">
            <anchor moveWithCells="1">
              <from>
                <xdr:col>10</xdr:col>
                <xdr:colOff>19050</xdr:colOff>
                <xdr:row>46</xdr:row>
                <xdr:rowOff>57150</xdr:rowOff>
              </from>
              <to>
                <xdr:col>14</xdr:col>
                <xdr:colOff>171450</xdr:colOff>
                <xdr:row>50</xdr:row>
                <xdr:rowOff>57150</xdr:rowOff>
              </to>
            </anchor>
          </objectPr>
        </oleObject>
      </mc:Choice>
      <mc:Fallback>
        <oleObject progId="AutoSketch.Drawing.9" shapeId="1531" r:id="rId25"/>
      </mc:Fallback>
    </mc:AlternateContent>
    <mc:AlternateContent xmlns:mc="http://schemas.openxmlformats.org/markup-compatibility/2006">
      <mc:Choice Requires="x14">
        <oleObject progId="AutoSketch.Drawing.9" shapeId="1532" r:id="rId27">
          <objectPr defaultSize="0" autoPict="0" r:id="rId28">
            <anchor moveWithCells="1">
              <from>
                <xdr:col>5</xdr:col>
                <xdr:colOff>38100</xdr:colOff>
                <xdr:row>28</xdr:row>
                <xdr:rowOff>57150</xdr:rowOff>
              </from>
              <to>
                <xdr:col>9</xdr:col>
                <xdr:colOff>171450</xdr:colOff>
                <xdr:row>32</xdr:row>
                <xdr:rowOff>57150</xdr:rowOff>
              </to>
            </anchor>
          </objectPr>
        </oleObject>
      </mc:Choice>
      <mc:Fallback>
        <oleObject progId="AutoSketch.Drawing.9" shapeId="1532" r:id="rId27"/>
      </mc:Fallback>
    </mc:AlternateContent>
    <mc:AlternateContent xmlns:mc="http://schemas.openxmlformats.org/markup-compatibility/2006">
      <mc:Choice Requires="x14">
        <oleObject progId="AutoSketch.Drawing.9" shapeId="1545" r:id="rId29">
          <objectPr defaultSize="0" autoPict="0" r:id="rId30">
            <anchor moveWithCells="1">
              <from>
                <xdr:col>14</xdr:col>
                <xdr:colOff>180975</xdr:colOff>
                <xdr:row>27</xdr:row>
                <xdr:rowOff>142875</xdr:rowOff>
              </from>
              <to>
                <xdr:col>25</xdr:col>
                <xdr:colOff>19050</xdr:colOff>
                <xdr:row>48</xdr:row>
                <xdr:rowOff>38100</xdr:rowOff>
              </to>
            </anchor>
          </objectPr>
        </oleObject>
      </mc:Choice>
      <mc:Fallback>
        <oleObject progId="AutoSketch.Drawing.9" shapeId="1545" r:id="rId2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2024-11-21T14:45:31Z</cp:lastPrinted>
  <dcterms:created xsi:type="dcterms:W3CDTF">2008-09-29T09:08:30Z</dcterms:created>
  <dcterms:modified xsi:type="dcterms:W3CDTF">2024-11-21T14:45:35Z</dcterms:modified>
</cp:coreProperties>
</file>