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7F6F9B6E-0783-42A4-A33E-532388CF3C2C}" xr6:coauthVersionLast="47" xr6:coauthVersionMax="47" xr10:uidLastSave="{00000000-0000-0000-0000-000000000000}"/>
  <workbookProtection workbookAlgorithmName="SHA-512" workbookHashValue="HD4RJE/q3UjAb9PP6ruNokrbTl//O3RVL4Rwjpuxt6JNV4RW9Ss3mLETs0A+joXpiofDrcnEnXXqrPRKY+bEvg==" workbookSaltValue="FpDLiVpj0Uqi/eYuapW+Xw==" workbookSpinCount="100000" lockStructure="1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3" i="1" l="1"/>
  <c r="AA53" i="1"/>
  <c r="V53" i="1"/>
  <c r="Q53" i="1"/>
  <c r="L53" i="1"/>
  <c r="G53" i="1"/>
  <c r="Y35" i="1"/>
  <c r="AD39" i="1"/>
  <c r="AD36" i="1"/>
  <c r="AD35" i="1"/>
  <c r="Y39" i="1"/>
  <c r="Y38" i="1"/>
  <c r="Y36" i="1"/>
  <c r="W1" i="1" l="1"/>
  <c r="V1" i="1"/>
  <c r="U1" i="1"/>
  <c r="T1" i="1"/>
  <c r="S1" i="1"/>
  <c r="O1" i="1" l="1"/>
  <c r="N1" i="1"/>
  <c r="M1" i="1"/>
  <c r="L1" i="1"/>
  <c r="K1" i="1"/>
  <c r="J1" i="1"/>
  <c r="I1" i="1"/>
  <c r="H1" i="1"/>
  <c r="G1" i="1"/>
  <c r="F1" i="1"/>
  <c r="E1" i="1"/>
  <c r="D1" i="1"/>
  <c r="Q1" i="1"/>
  <c r="C1" i="1"/>
  <c r="AE40" i="1"/>
  <c r="AE42" i="1" s="1"/>
  <c r="AE43" i="1" s="1"/>
  <c r="G4" i="1"/>
  <c r="U4" i="1"/>
  <c r="Y37" i="1"/>
  <c r="AA1" i="1" s="1"/>
  <c r="Y33" i="1"/>
  <c r="Z3" i="1" s="1"/>
  <c r="W4" i="1" l="1"/>
  <c r="AB4" i="1"/>
  <c r="AF4" i="1"/>
  <c r="AB1" i="1"/>
  <c r="V4" i="1"/>
  <c r="AC4" i="1"/>
  <c r="R4" i="1"/>
  <c r="M4" i="1"/>
  <c r="N4" i="1"/>
  <c r="X4" i="1"/>
  <c r="AI4" i="1"/>
  <c r="O4" i="1"/>
  <c r="Y4" i="1"/>
  <c r="AH4" i="1"/>
  <c r="P4" i="1"/>
  <c r="Z4" i="1"/>
  <c r="AG4" i="1"/>
  <c r="Q4" i="1"/>
  <c r="AA4" i="1"/>
  <c r="AE4" i="1"/>
  <c r="S4" i="1"/>
  <c r="AD4" i="1"/>
  <c r="T4" i="1"/>
  <c r="AI2" i="1" l="1"/>
  <c r="AH2" i="1"/>
  <c r="AG2" i="1"/>
  <c r="T2" i="1"/>
  <c r="B1" i="1"/>
  <c r="AI1" i="1"/>
  <c r="R2" i="1"/>
  <c r="R23" i="1"/>
  <c r="B21" i="1" l="1"/>
  <c r="J23" i="1"/>
  <c r="AF2" i="1"/>
  <c r="AE2" i="1"/>
  <c r="AD2" i="1"/>
  <c r="AC2" i="1"/>
  <c r="AB2" i="1"/>
  <c r="AA2" i="1"/>
  <c r="Z2" i="1"/>
  <c r="Y2" i="1"/>
  <c r="X2" i="1"/>
  <c r="W2" i="1"/>
  <c r="V2" i="1"/>
  <c r="U2" i="1"/>
  <c r="S2" i="1"/>
  <c r="AE30" i="1" l="1"/>
  <c r="AD34" i="1" l="1"/>
  <c r="Y34" i="1"/>
  <c r="F4" i="1" s="1"/>
  <c r="AF44" i="1" l="1"/>
</calcChain>
</file>

<file path=xl/sharedStrings.xml><?xml version="1.0" encoding="utf-8"?>
<sst xmlns="http://schemas.openxmlformats.org/spreadsheetml/2006/main" count="83" uniqueCount="77">
  <si>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</si>
  <si>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</si>
  <si>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</si>
  <si>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</si>
  <si>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</si>
  <si>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</si>
  <si>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</si>
  <si>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</si>
  <si>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</si>
  <si>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</si>
  <si>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</si>
  <si>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inkl. Schachtaufbau</t>
  </si>
  <si>
    <t>Schacht-Nr.</t>
  </si>
  <si>
    <t xml:space="preserve">Durchmesser mm: </t>
  </si>
  <si>
    <t>h1</t>
  </si>
  <si>
    <t xml:space="preserve">D </t>
  </si>
  <si>
    <t>HT</t>
  </si>
  <si>
    <t>h2</t>
  </si>
  <si>
    <t>O.K. Deckel m.ü.M</t>
  </si>
  <si>
    <t>nur Schachtunterteil</t>
  </si>
  <si>
    <t>Anschlüsse</t>
  </si>
  <si>
    <t>Nennweite (mm)</t>
  </si>
  <si>
    <t>Rohrmaterial</t>
  </si>
  <si>
    <t>Serie / Typ</t>
  </si>
  <si>
    <t>Gefälle J (%)</t>
  </si>
  <si>
    <t>Kote (m.ü.M)</t>
  </si>
  <si>
    <t>Auslauf</t>
  </si>
  <si>
    <t>Einlauf</t>
  </si>
  <si>
    <t>Zulauf 1</t>
  </si>
  <si>
    <t>Zulauf 2</t>
  </si>
  <si>
    <t>Zulauf 3</t>
  </si>
  <si>
    <t>Zulauf 4</t>
  </si>
  <si>
    <t>Bemerkungen</t>
  </si>
  <si>
    <t>CENTUB</t>
  </si>
  <si>
    <t>PUC-U</t>
  </si>
  <si>
    <t>PP</t>
  </si>
  <si>
    <t>PEHD</t>
  </si>
  <si>
    <t>GFK</t>
  </si>
  <si>
    <t>GGG</t>
  </si>
  <si>
    <t>STZ</t>
  </si>
  <si>
    <t>SN 0.5</t>
  </si>
  <si>
    <t>SN 2</t>
  </si>
  <si>
    <t>SN 4</t>
  </si>
  <si>
    <t>SN 2.5</t>
  </si>
  <si>
    <t>SN 8</t>
  </si>
  <si>
    <t>SN 10</t>
  </si>
  <si>
    <t>SN 12</t>
  </si>
  <si>
    <t>SN 16</t>
  </si>
  <si>
    <t>SN 2500</t>
  </si>
  <si>
    <t>SN 5000</t>
  </si>
  <si>
    <t>SN 10000</t>
  </si>
  <si>
    <t>ZM</t>
  </si>
  <si>
    <t>PUR</t>
  </si>
  <si>
    <t>EPOXY</t>
  </si>
  <si>
    <t>Unterteilhöhe</t>
  </si>
  <si>
    <t xml:space="preserve">Schachthöhe </t>
  </si>
  <si>
    <t xml:space="preserve">Schachtring </t>
  </si>
  <si>
    <r>
      <t>Winkel</t>
    </r>
    <r>
      <rPr>
        <b/>
        <sz val="10"/>
        <rFont val="Arial"/>
        <family val="2"/>
      </rPr>
      <t xml:space="preserve"> in °</t>
    </r>
  </si>
  <si>
    <t>HS</t>
  </si>
  <si>
    <t>HD</t>
  </si>
  <si>
    <t>h3</t>
  </si>
  <si>
    <t>MAROWA</t>
  </si>
  <si>
    <t>Lieferung LKW spezifikationen</t>
  </si>
  <si>
    <t>auf Baustelle</t>
  </si>
  <si>
    <t>Lieferzeit</t>
  </si>
  <si>
    <t>Gehänge mitliefern</t>
  </si>
  <si>
    <t>Gehänge mit Kunde klären</t>
  </si>
  <si>
    <t>Lieferwerk</t>
  </si>
  <si>
    <t>Höhe (mm) gem. Plan</t>
  </si>
  <si>
    <t>Werk Brugg 71</t>
  </si>
  <si>
    <t>Deckelhöhe</t>
  </si>
  <si>
    <t>A 06 03 CENTUB®Spezialschachtunterteil
Bestellformular</t>
  </si>
  <si>
    <t>Nutztiefe</t>
  </si>
  <si>
    <t>Sohle m.ü.M</t>
  </si>
  <si>
    <t>u.K. Schacht m.ü.M</t>
  </si>
  <si>
    <t>CREABETON September 2024/str</t>
  </si>
  <si>
    <t>Tel.-Nr.: 0848 400 401       
E-Mail: info@creabeton.ch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</si>
</sst>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18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10"/>
      <name val="Frutiger 47LightCn"/>
    </font>
    <font>
      <b/>
      <sz val="10"/>
      <name val="Frutiger 47LightCn"/>
    </font>
    <font>
      <sz val="11"/>
      <name val="Frutiger 47LightCn"/>
    </font>
    <font>
      <sz val="9"/>
      <name val="Frutiger 47LightCn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6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9" fillId="0" borderId="11" xfId="0" applyFont="1" applyBorder="1"/>
    <xf numFmtId="0" fontId="13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3" xfId="0" applyFont="1" applyBorder="1"/>
    <xf numFmtId="0" fontId="10" fillId="0" borderId="0" xfId="0" applyFont="1"/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9" fillId="0" borderId="12" xfId="0" applyFont="1" applyBorder="1"/>
    <xf numFmtId="0" fontId="9" fillId="0" borderId="8" xfId="0" applyFont="1" applyBorder="1"/>
    <xf numFmtId="0" fontId="9" fillId="0" borderId="8" xfId="0" applyFont="1" applyBorder="1" applyAlignment="1">
      <alignment vertical="center"/>
    </xf>
    <xf numFmtId="0" fontId="9" fillId="0" borderId="3" xfId="0" applyFont="1" applyBorder="1"/>
    <xf numFmtId="0" fontId="14" fillId="0" borderId="8" xfId="0" applyFont="1" applyBorder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3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1" fontId="10" fillId="2" borderId="10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17" xfId="0" applyFont="1" applyBorder="1"/>
    <xf numFmtId="0" fontId="9" fillId="0" borderId="18" xfId="0" applyFont="1" applyBorder="1"/>
    <xf numFmtId="0" fontId="10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" fillId="2" borderId="2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3" xfId="0" applyFont="1" applyBorder="1" applyAlignment="1">
      <alignment horizontal="left" vertical="center"/>
    </xf>
    <xf numFmtId="0" fontId="9" fillId="0" borderId="21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12" fillId="2" borderId="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2" fillId="2" borderId="2" xfId="0" applyFont="1" applyFill="1" applyBorder="1"/>
    <xf numFmtId="0" fontId="12" fillId="2" borderId="10" xfId="0" applyFont="1" applyFill="1" applyBorder="1"/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2" fontId="10" fillId="2" borderId="2" xfId="0" applyNumberFormat="1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6" fillId="2" borderId="13" xfId="2" applyFill="1" applyBorder="1" applyAlignment="1" applyProtection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0" borderId="3" xfId="0" applyFont="1" applyBorder="1"/>
    <xf numFmtId="0" fontId="0" fillId="0" borderId="0" xfId="0"/>
    <xf numFmtId="0" fontId="0" fillId="0" borderId="3" xfId="0" applyBorder="1"/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1" fontId="10" fillId="2" borderId="5" xfId="0" applyNumberFormat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8" xfId="0" applyFont="1" applyBorder="1"/>
    <xf numFmtId="0" fontId="9" fillId="0" borderId="11" xfId="0" applyFont="1" applyBorder="1"/>
    <xf numFmtId="1" fontId="10" fillId="0" borderId="5" xfId="0" applyNumberFormat="1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/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12" xfId="0" applyBorder="1"/>
    <xf numFmtId="4" fontId="10" fillId="2" borderId="5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/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161925</xdr:colOff>
          <xdr:row>29</xdr:row>
          <xdr:rowOff>190500</xdr:rowOff>
        </xdr:from>
        <xdr:to>
          <xdr:col>23</xdr:col>
          <xdr:colOff>152400</xdr:colOff>
          <xdr:row>42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27</xdr:row>
      <xdr:rowOff>15240</xdr:rowOff>
    </xdr:from>
    <xdr:to>
      <xdr:col>11</xdr:col>
      <xdr:colOff>114300</xdr:colOff>
      <xdr:row>44</xdr:row>
      <xdr:rowOff>0</xdr:rowOff>
    </xdr:to>
    <xdr:sp macro="" textlink="">
      <xdr:nvSpPr>
        <xdr:cNvPr id="1074" name="Object 50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35</xdr:col>
      <xdr:colOff>7620</xdr:colOff>
      <xdr:row>5</xdr:row>
      <xdr:rowOff>6350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6452870" cy="165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9525</xdr:rowOff>
        </xdr:from>
        <xdr:to>
          <xdr:col>12</xdr:col>
          <xdr:colOff>38100</xdr:colOff>
          <xdr:row>43</xdr:row>
          <xdr:rowOff>142875</xdr:rowOff>
        </xdr:to>
        <xdr:sp macro="" textlink="">
          <xdr:nvSpPr>
            <xdr:cNvPr id="1527" name="Object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1"/>
  <sheetViews>
    <sheetView showGridLines="0" tabSelected="1" view="pageLayout" zoomScaleNormal="100" workbookViewId="0">
      <selection activeCell="V12" sqref="V12:AI12"/>
    </sheetView>
  </sheetViews>
  <sheetFormatPr baseColWidth="10" defaultColWidth="1.5703125" defaultRowHeight="12.75"/>
  <cols>
    <col min="1" max="35" width="2.5703125" style="1" customWidth="1"/>
    <col min="36" max="36" width="1.5703125" style="1"/>
    <col min="37" max="37" width="2.140625" style="1" bestFit="1" customWidth="1"/>
    <col min="38" max="16384" width="1.5703125" style="1"/>
  </cols>
  <sheetData>
    <row r="1" spans="1:35" ht="2.85" customHeight="1">
      <c r="A1" s="63"/>
      <c r="B1" s="1" t="str">
        <f>IF($AE$31="","Unterteilhöhe auswählen","")</f>
        <v>Unterteilhöhe auswählen</v>
      </c>
      <c r="C1" s="1" t="str">
        <f>IF($Z$27="","",110)</f>
        <v/>
      </c>
      <c r="D1" s="1" t="str">
        <f>IF($Z$27="","",125)</f>
        <v/>
      </c>
      <c r="E1" s="1" t="str">
        <f>IF($Z$27="","",160)</f>
        <v/>
      </c>
      <c r="F1" s="1" t="str">
        <f>IF($Z$27="","",200)</f>
        <v/>
      </c>
      <c r="G1" s="1" t="str">
        <f>IF($Z$27="","",250)</f>
        <v/>
      </c>
      <c r="H1" s="1" t="str">
        <f>IF($Z$27="","",300)</f>
        <v/>
      </c>
      <c r="I1" s="1" t="str">
        <f>IF($Z$27="","",400)</f>
        <v/>
      </c>
      <c r="J1" s="1" t="str">
        <f>IF($Z$27="","",500)</f>
        <v/>
      </c>
      <c r="K1" s="1" t="str">
        <f>IF($Z$27="","",600)</f>
        <v/>
      </c>
      <c r="L1" s="1" t="str">
        <f>IF($Z$27="","",IF($Z$27&gt;1000,700,""))</f>
        <v/>
      </c>
      <c r="M1" s="1" t="str">
        <f>IF($Z$27="","",IF($Z$27&gt;1000,800,""))</f>
        <v/>
      </c>
      <c r="N1" s="1" t="str">
        <f>IF($Z$27="","",IF(AND($Z$27&gt;1250,$AE$31&gt;1350),1000,""))</f>
        <v/>
      </c>
      <c r="O1" s="1" t="str">
        <f>IF($Z$27="","",IF(AND($Z$27&gt;1500,$AE$31&gt;1520),1200,""))</f>
        <v/>
      </c>
      <c r="P1" s="64"/>
      <c r="Q1" s="64" t="str">
        <f>IF(Z27="","DN auswählen","")</f>
        <v>DN auswählen</v>
      </c>
      <c r="R1" s="64"/>
      <c r="S1" s="64" t="str">
        <f>IF($Z$27="","",IF($Z$27&lt;=2000,1650,""))</f>
        <v/>
      </c>
      <c r="T1" s="64" t="str">
        <f>IF($Z$27="","",IF(OR($Z$27=1500,$Z$27=2000),1820,""))</f>
        <v/>
      </c>
      <c r="U1" s="64" t="str">
        <f>IF($Z$27="","",IF($Z$27=1500,2270,""))</f>
        <v/>
      </c>
      <c r="V1" s="64" t="str">
        <f>IF($Z$27="","",IF($Z$27=2000,2310,""))</f>
        <v/>
      </c>
      <c r="W1" s="64" t="str">
        <f>IF($Z$27="","",IF($Z$27=2000,2560,""))</f>
        <v/>
      </c>
      <c r="Y1" s="64"/>
      <c r="Z1" s="64"/>
      <c r="AA1" s="64" t="str">
        <f>IF(AND($Y$37="Konus DN1 / 600",$Z$27&gt;1000),530,IF(AND($Y$37="Konus DN1 / 600",$Z$27=1000),600,""))</f>
        <v/>
      </c>
      <c r="AB1" s="64" t="str">
        <f>IF($Y$37="Konus DN2 / 600",600,"")</f>
        <v/>
      </c>
      <c r="AC1" s="64"/>
      <c r="AD1" s="64"/>
      <c r="AE1" s="64"/>
      <c r="AF1" s="64"/>
      <c r="AG1" s="64"/>
      <c r="AH1" s="64"/>
      <c r="AI1" s="64" t="str">
        <f>IF($Z$27="","",IF($X$17="","Lieferwerk?",IF(AND($X$17="Werk Brugg",$Z$27&gt;=1199),1030,"")))</f>
        <v/>
      </c>
    </row>
    <row r="2" spans="1:35" ht="2.85" customHeight="1">
      <c r="A2" s="65"/>
      <c r="B2" s="7" t="s">
        <v>33</v>
      </c>
      <c r="C2" s="7" t="s">
        <v>34</v>
      </c>
      <c r="D2" s="7" t="s">
        <v>35</v>
      </c>
      <c r="E2" s="7" t="s">
        <v>36</v>
      </c>
      <c r="F2" s="66" t="s">
        <v>37</v>
      </c>
      <c r="G2" s="7" t="s">
        <v>38</v>
      </c>
      <c r="H2" s="7" t="s">
        <v>39</v>
      </c>
      <c r="I2" s="1" t="s">
        <v>61</v>
      </c>
      <c r="R2" s="1">
        <f>IF($Z$27&lt;1200,375,"")</f>
        <v>375</v>
      </c>
      <c r="S2" s="1">
        <f>IF($Z$27&lt;1200,500,"")</f>
        <v>500</v>
      </c>
      <c r="T2" s="1" t="str">
        <f>IF(AND($Z$27&lt;1200,X17="Werk Lyss 11"),535,"")</f>
        <v/>
      </c>
      <c r="U2" s="1">
        <f>IF($Z$27&lt;1200,625,"")</f>
        <v>625</v>
      </c>
      <c r="V2" s="1">
        <f>IF($Z$27&lt;1200,750,"")</f>
        <v>750</v>
      </c>
      <c r="W2" s="1">
        <f>IF($Z$27&lt;1200,875,"")</f>
        <v>875</v>
      </c>
      <c r="X2" s="1">
        <f>IF($Z$27&lt;1200,1000,"")</f>
        <v>1000</v>
      </c>
      <c r="Y2" s="1">
        <f>IF($Z$27&lt;1200,1125,"")</f>
        <v>1125</v>
      </c>
      <c r="Z2" s="1">
        <f>IF($Z$27&lt;1200,1250,"")</f>
        <v>1250</v>
      </c>
      <c r="AA2" s="1">
        <f>IF($Z$27&lt;1200,1375,"")</f>
        <v>1375</v>
      </c>
      <c r="AB2" s="1">
        <f>IF($Z$27&lt;1200,1500,"")</f>
        <v>1500</v>
      </c>
      <c r="AC2" s="1">
        <f>IF($Z$27&lt;1200,1625,"")</f>
        <v>1625</v>
      </c>
      <c r="AD2" s="1">
        <f>IF($Z$27&lt;1200,1750,"")</f>
        <v>1750</v>
      </c>
      <c r="AE2" s="1">
        <f>IF($Z$27&lt;1200,1875,"")</f>
        <v>1875</v>
      </c>
      <c r="AF2" s="1">
        <f>IF($Z$27&lt;1200,2000,"")</f>
        <v>2000</v>
      </c>
      <c r="AG2" s="1">
        <f>IF(AND($Z$27&lt;1200,X17="Werk Brugg 71"),2125,"")</f>
        <v>2125</v>
      </c>
      <c r="AH2" s="1">
        <f>IF(AND($Z$27&lt;1200,X17="Werk Brugg 71"),2250,"")</f>
        <v>2250</v>
      </c>
      <c r="AI2" s="1">
        <f>IF(AND($Z$27&lt;1200,X17="Werk Brugg 71"),2375,"")</f>
        <v>2375</v>
      </c>
    </row>
    <row r="3" spans="1:35" ht="2.85" customHeight="1">
      <c r="A3" s="65"/>
      <c r="B3" s="4"/>
      <c r="C3" s="1" t="s">
        <v>40</v>
      </c>
      <c r="D3" s="1" t="s">
        <v>41</v>
      </c>
      <c r="E3" s="1" t="s">
        <v>43</v>
      </c>
      <c r="F3" s="1" t="s">
        <v>42</v>
      </c>
      <c r="G3" s="1" t="s">
        <v>44</v>
      </c>
      <c r="H3" s="1" t="s">
        <v>45</v>
      </c>
      <c r="I3" s="1" t="s">
        <v>46</v>
      </c>
      <c r="J3" s="1" t="s">
        <v>47</v>
      </c>
      <c r="K3" s="1" t="s">
        <v>48</v>
      </c>
      <c r="L3" s="1" t="s">
        <v>49</v>
      </c>
      <c r="M3" s="1" t="s">
        <v>50</v>
      </c>
      <c r="N3" s="1" t="s">
        <v>51</v>
      </c>
      <c r="O3" s="1" t="s">
        <v>52</v>
      </c>
      <c r="P3" s="1" t="s">
        <v>53</v>
      </c>
      <c r="Z3" s="1">
        <f>IF($Y$33="","",250)</f>
        <v>250</v>
      </c>
    </row>
    <row r="4" spans="1:35" ht="2.85" customHeight="1">
      <c r="A4" s="65"/>
      <c r="B4" s="4">
        <v>1000</v>
      </c>
      <c r="C4" s="4">
        <v>1250</v>
      </c>
      <c r="D4" s="1">
        <v>1500</v>
      </c>
      <c r="E4" s="1">
        <v>2000</v>
      </c>
      <c r="F4" s="25" t="str">
        <f>IF($Y$34="Ruhepodest?",500,"")</f>
        <v/>
      </c>
      <c r="G4" s="25" t="str">
        <f>IF($Y$36="Ruhepodest?",500,"")</f>
        <v/>
      </c>
      <c r="M4" s="1" t="str">
        <f>IF($Y38="RIKO DN2 / 600",375,"")</f>
        <v/>
      </c>
      <c r="N4" s="1" t="str">
        <f>IF($Y38="RIKO DN2 / 600",500,"")</f>
        <v/>
      </c>
      <c r="O4" s="1" t="str">
        <f>IF($Y38="RIKO DN2 / 600",625,"")</f>
        <v/>
      </c>
      <c r="P4" s="1" t="str">
        <f>IF($Y38="RIKO DN2 / 600",750,"")</f>
        <v/>
      </c>
      <c r="Q4" s="1" t="str">
        <f>IF($Y38="RIKO DN2 / 600",875,"")</f>
        <v/>
      </c>
      <c r="R4" s="1" t="str">
        <f>IF($Y38="RIKO DN2 / 600",1000,"")</f>
        <v/>
      </c>
      <c r="S4" s="1" t="str">
        <f>IF($Y38="RIKO DN2 / 600",1125,"")</f>
        <v/>
      </c>
      <c r="T4" s="1" t="str">
        <f>IF($Y38="RIKO DN2 / 600",1250,"")</f>
        <v/>
      </c>
      <c r="U4" s="1" t="str">
        <f>IF($Y38="RIKO DN2 / 600",1375,"")</f>
        <v/>
      </c>
      <c r="V4" s="1" t="str">
        <f>IF($Y38="RIKO DN2 / 600",1500,"")</f>
        <v/>
      </c>
      <c r="W4" s="1" t="str">
        <f>IF($Y38="RIKO DN2 / 600",1750,"")</f>
        <v/>
      </c>
      <c r="X4" s="1" t="str">
        <f>IF($Y38="RIKO DN2 / 600",1875,"")</f>
        <v/>
      </c>
      <c r="Y4" s="1" t="str">
        <f>IF($Y38="RIKO DN2 / 600",2000,"")</f>
        <v/>
      </c>
      <c r="Z4" s="1" t="str">
        <f>IF($Y38="RIKO DN2 / 600",2125,"")</f>
        <v/>
      </c>
      <c r="AA4" s="1" t="str">
        <f>IF($Y38="RIKO DN2 / 600",2250,"")</f>
        <v/>
      </c>
      <c r="AB4" s="1" t="str">
        <f>IF($Y38="RIKO DN2 / 600",2375,"")</f>
        <v/>
      </c>
      <c r="AC4" s="1" t="str">
        <f t="shared" ref="AC4:AI4" si="0">IF($Y38="RIKO DN2 / 600",375,"")</f>
        <v/>
      </c>
      <c r="AD4" s="1" t="str">
        <f t="shared" si="0"/>
        <v/>
      </c>
      <c r="AE4" s="1" t="str">
        <f t="shared" si="0"/>
        <v/>
      </c>
      <c r="AF4" s="1" t="str">
        <f t="shared" si="0"/>
        <v/>
      </c>
      <c r="AG4" s="1" t="str">
        <f t="shared" si="0"/>
        <v/>
      </c>
      <c r="AH4" s="1" t="str">
        <f t="shared" si="0"/>
        <v/>
      </c>
      <c r="AI4" s="1" t="str">
        <f t="shared" si="0"/>
        <v/>
      </c>
    </row>
    <row r="5" spans="1:35" ht="2.85" customHeight="1">
      <c r="A5" s="6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s="2" customFormat="1" ht="13.35" customHeight="1">
      <c r="A6" s="82" t="s">
        <v>71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75" t="s">
        <v>76</v>
      </c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</row>
    <row r="7" spans="1:35" s="2" customFormat="1" ht="18" customHeight="1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76"/>
      <c r="S7" s="76"/>
      <c r="T7" s="76"/>
      <c r="U7" s="76"/>
      <c r="V7" s="76"/>
      <c r="W7" s="76"/>
      <c r="X7" s="76"/>
      <c r="Y7" s="76"/>
      <c r="Z7" s="76"/>
      <c r="AA7" s="77"/>
      <c r="AB7" s="77"/>
      <c r="AC7" s="77"/>
      <c r="AD7" s="77"/>
      <c r="AE7" s="77"/>
      <c r="AF7" s="77"/>
      <c r="AG7" s="77"/>
      <c r="AH7" s="77"/>
      <c r="AI7" s="77"/>
    </row>
    <row r="8" spans="1:35" ht="15.6" customHeight="1">
      <c r="A8" s="40" t="s">
        <v>0</v>
      </c>
      <c r="B8" s="21"/>
      <c r="C8" s="21"/>
      <c r="D8" s="21"/>
      <c r="E8" s="21"/>
      <c r="F8" s="42" t="s">
        <v>5</v>
      </c>
      <c r="G8" s="41"/>
      <c r="H8" s="41"/>
      <c r="I8" s="41"/>
      <c r="J8" s="148"/>
      <c r="K8" s="112"/>
      <c r="L8" s="112"/>
      <c r="M8" s="112"/>
      <c r="N8" s="112"/>
      <c r="O8" s="112"/>
      <c r="P8" s="144"/>
      <c r="Q8" s="62"/>
      <c r="R8" s="149" t="s">
        <v>6</v>
      </c>
      <c r="S8" s="139"/>
      <c r="T8" s="139"/>
      <c r="U8" s="139"/>
      <c r="V8" s="139"/>
      <c r="W8" s="139"/>
      <c r="X8" s="139"/>
      <c r="Y8" s="139"/>
      <c r="Z8" s="140"/>
      <c r="AA8" s="150" t="s">
        <v>7</v>
      </c>
      <c r="AB8" s="151"/>
      <c r="AC8" s="151"/>
      <c r="AD8" s="152"/>
      <c r="AE8" s="152"/>
      <c r="AF8" s="152"/>
      <c r="AG8" s="152"/>
      <c r="AH8" s="152"/>
      <c r="AI8" s="153"/>
    </row>
    <row r="9" spans="1:35" ht="15.6" customHeight="1">
      <c r="A9" s="78"/>
      <c r="B9" s="79"/>
      <c r="C9" s="79"/>
      <c r="D9" s="79"/>
      <c r="E9" s="79"/>
      <c r="F9" s="79"/>
      <c r="G9" s="79"/>
      <c r="H9" s="79"/>
      <c r="I9" s="80"/>
      <c r="J9" s="80"/>
      <c r="K9" s="80"/>
      <c r="L9" s="80"/>
      <c r="M9" s="80"/>
      <c r="N9" s="80"/>
      <c r="O9" s="80"/>
      <c r="P9" s="81"/>
      <c r="Q9" s="4"/>
      <c r="R9" s="78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4"/>
    </row>
    <row r="10" spans="1:35" ht="15.6" customHeight="1">
      <c r="A10" s="78"/>
      <c r="B10" s="79"/>
      <c r="C10" s="79"/>
      <c r="D10" s="79"/>
      <c r="E10" s="79"/>
      <c r="F10" s="79"/>
      <c r="G10" s="79"/>
      <c r="H10" s="79"/>
      <c r="I10" s="80"/>
      <c r="J10" s="80"/>
      <c r="K10" s="80"/>
      <c r="L10" s="80"/>
      <c r="M10" s="80"/>
      <c r="N10" s="80"/>
      <c r="O10" s="80"/>
      <c r="P10" s="81"/>
      <c r="Q10" s="7"/>
      <c r="R10" s="85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7"/>
    </row>
    <row r="11" spans="1:35" ht="15.6" customHeight="1">
      <c r="A11" s="78"/>
      <c r="B11" s="79"/>
      <c r="C11" s="79"/>
      <c r="D11" s="79"/>
      <c r="E11" s="79"/>
      <c r="F11" s="79"/>
      <c r="G11" s="79"/>
      <c r="H11" s="79"/>
      <c r="I11" s="80"/>
      <c r="J11" s="80"/>
      <c r="K11" s="80"/>
      <c r="L11" s="80"/>
      <c r="M11" s="80"/>
      <c r="N11" s="80"/>
      <c r="O11" s="80"/>
      <c r="P11" s="81"/>
      <c r="Q11" s="7"/>
      <c r="R11" s="88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90"/>
    </row>
    <row r="12" spans="1:35" ht="15.6" customHeight="1">
      <c r="A12" s="91" t="s">
        <v>1</v>
      </c>
      <c r="B12" s="92"/>
      <c r="C12" s="92"/>
      <c r="D12" s="92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90"/>
      <c r="Q12" s="7" t="s">
        <v>8</v>
      </c>
      <c r="R12" s="91" t="s">
        <v>1</v>
      </c>
      <c r="S12" s="92"/>
      <c r="T12" s="92"/>
      <c r="U12" s="92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90"/>
    </row>
    <row r="13" spans="1:35" ht="15.6" customHeight="1">
      <c r="A13" s="99" t="s">
        <v>2</v>
      </c>
      <c r="B13" s="100"/>
      <c r="C13" s="100"/>
      <c r="D13" s="10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1"/>
      <c r="Q13" s="7"/>
      <c r="R13" s="99" t="s">
        <v>2</v>
      </c>
      <c r="S13" s="100"/>
      <c r="T13" s="100"/>
      <c r="U13" s="100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90"/>
    </row>
    <row r="14" spans="1:35" ht="15.6" customHeight="1" thickBot="1">
      <c r="A14" s="73" t="s">
        <v>3</v>
      </c>
      <c r="B14" s="74"/>
      <c r="C14" s="74"/>
      <c r="D14" s="74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8"/>
      <c r="Q14" s="61"/>
      <c r="R14" s="73" t="s">
        <v>3</v>
      </c>
      <c r="S14" s="74"/>
      <c r="T14" s="74"/>
      <c r="U14" s="74"/>
      <c r="V14" s="96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8"/>
    </row>
    <row r="15" spans="1:35" s="3" customFormat="1" ht="15.6" customHeight="1" thickTop="1">
      <c r="A15" s="128" t="s">
        <v>4</v>
      </c>
      <c r="B15" s="129"/>
      <c r="C15" s="129"/>
      <c r="D15" s="129"/>
      <c r="E15" s="129"/>
      <c r="F15" s="129"/>
      <c r="G15" s="101"/>
      <c r="H15" s="102"/>
      <c r="I15" s="102"/>
      <c r="J15" s="102"/>
      <c r="K15" s="102"/>
      <c r="L15" s="102"/>
      <c r="M15" s="102"/>
      <c r="N15" s="102"/>
      <c r="O15" s="102"/>
      <c r="P15" s="102"/>
      <c r="Q15" s="11"/>
      <c r="R15" s="129" t="s">
        <v>9</v>
      </c>
      <c r="S15" s="130"/>
      <c r="T15" s="130"/>
      <c r="U15" s="130"/>
      <c r="V15" s="130"/>
      <c r="W15" s="130"/>
      <c r="X15" s="101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3"/>
    </row>
    <row r="16" spans="1:35" s="3" customFormat="1" ht="2.1" customHeight="1">
      <c r="A16" s="10"/>
      <c r="B16" s="4"/>
      <c r="C16" s="4"/>
      <c r="D16" s="4"/>
      <c r="E16" s="4"/>
      <c r="F16" s="4"/>
      <c r="G16" s="11"/>
      <c r="H16" s="4"/>
      <c r="I16" s="4"/>
      <c r="J16" s="4"/>
      <c r="K16" s="4"/>
      <c r="L16" s="4"/>
      <c r="M16" s="4"/>
      <c r="N16" s="4"/>
      <c r="O16" s="4"/>
      <c r="P16" s="4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4"/>
      <c r="AC16" s="4"/>
      <c r="AD16" s="4"/>
      <c r="AE16" s="4"/>
      <c r="AF16" s="4"/>
      <c r="AG16" s="4"/>
      <c r="AH16" s="7"/>
      <c r="AI16" s="12"/>
    </row>
    <row r="17" spans="1:35" s="3" customFormat="1" ht="15.6" customHeight="1">
      <c r="A17" s="13"/>
      <c r="B17" s="154" t="s">
        <v>62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"/>
      <c r="R17" s="155" t="s">
        <v>67</v>
      </c>
      <c r="S17" s="116"/>
      <c r="T17" s="116"/>
      <c r="U17" s="116"/>
      <c r="V17" s="116"/>
      <c r="W17" s="116"/>
      <c r="X17" s="111" t="s">
        <v>69</v>
      </c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68"/>
    </row>
    <row r="18" spans="1:35" s="3" customFormat="1" ht="2.1" customHeight="1">
      <c r="A18" s="10"/>
      <c r="B18" s="4"/>
      <c r="C18" s="4"/>
      <c r="D18" s="4"/>
      <c r="E18" s="4"/>
      <c r="F18" s="4"/>
      <c r="G18" s="11"/>
      <c r="H18" s="4"/>
      <c r="I18" s="4"/>
      <c r="J18" s="4"/>
      <c r="K18" s="4"/>
      <c r="L18" s="4"/>
      <c r="M18" s="4"/>
      <c r="N18" s="4"/>
      <c r="O18" s="4"/>
      <c r="P18" s="4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4"/>
      <c r="AC18" s="4"/>
      <c r="AD18" s="4"/>
      <c r="AE18" s="4"/>
      <c r="AF18" s="4"/>
      <c r="AG18" s="4"/>
      <c r="AH18" s="7"/>
      <c r="AI18" s="12"/>
    </row>
    <row r="19" spans="1:35" s="3" customFormat="1" ht="15.6" customHeight="1">
      <c r="A19" s="13"/>
      <c r="B19" s="36" t="s">
        <v>62</v>
      </c>
      <c r="C19" s="11"/>
      <c r="D19" s="4"/>
      <c r="E19" s="36" t="s">
        <v>63</v>
      </c>
      <c r="F19" s="4"/>
      <c r="G19" s="4"/>
      <c r="H19" s="4"/>
      <c r="I19" s="4"/>
      <c r="J19" s="110"/>
      <c r="K19" s="145"/>
      <c r="M19" s="4"/>
      <c r="N19" s="36"/>
      <c r="P19" s="11"/>
      <c r="Q19" s="11"/>
      <c r="R19" s="115" t="s">
        <v>64</v>
      </c>
      <c r="S19" s="116"/>
      <c r="T19" s="116"/>
      <c r="U19" s="116"/>
      <c r="V19" s="116"/>
      <c r="W19" s="116"/>
      <c r="X19" s="116"/>
      <c r="Y19" s="116"/>
      <c r="Z19" s="38"/>
      <c r="AB19" s="49" t="s">
        <v>65</v>
      </c>
      <c r="AD19" s="4"/>
      <c r="AE19" s="4"/>
      <c r="AF19" s="4"/>
      <c r="AG19" s="11"/>
      <c r="AH19" s="7"/>
      <c r="AI19" s="12"/>
    </row>
    <row r="20" spans="1:35" s="3" customFormat="1" ht="2.1" customHeight="1">
      <c r="A20" s="15"/>
      <c r="B20" s="11"/>
      <c r="C20" s="11"/>
      <c r="D20" s="4"/>
      <c r="E20" s="4"/>
      <c r="F20" s="4"/>
      <c r="G20" s="4"/>
      <c r="H20" s="4"/>
      <c r="I20" s="4"/>
      <c r="J20" s="16"/>
      <c r="K20" s="4"/>
      <c r="L20" s="4"/>
      <c r="M20" s="4"/>
      <c r="N20" s="11"/>
      <c r="O20" s="11"/>
      <c r="P20" s="11"/>
      <c r="Q20" s="11"/>
      <c r="R20" s="16"/>
      <c r="S20" s="4"/>
      <c r="T20" s="4"/>
      <c r="U20" s="4"/>
      <c r="V20" s="11"/>
      <c r="W20" s="11"/>
      <c r="X20" s="11"/>
      <c r="Y20" s="11"/>
      <c r="Z20" s="16"/>
      <c r="AB20" s="4"/>
      <c r="AD20" s="4"/>
      <c r="AE20" s="11"/>
      <c r="AF20" s="11"/>
      <c r="AG20" s="11"/>
      <c r="AH20" s="7"/>
      <c r="AI20" s="12"/>
    </row>
    <row r="21" spans="1:35" s="3" customFormat="1" ht="15.6" customHeight="1">
      <c r="A21" s="17"/>
      <c r="B21" s="36" t="str">
        <f>IF(J19="nein","","LKW spezifikationen")</f>
        <v>LKW spezifikationen</v>
      </c>
      <c r="I21" s="4"/>
      <c r="J21" s="110"/>
      <c r="K21" s="109"/>
      <c r="L21" s="4" t="s">
        <v>10</v>
      </c>
      <c r="M21" s="4"/>
      <c r="N21" s="4"/>
      <c r="O21" s="4"/>
      <c r="P21" s="11"/>
      <c r="Q21" s="11"/>
      <c r="R21" s="120"/>
      <c r="S21" s="121"/>
      <c r="T21" s="121"/>
      <c r="U21" s="121"/>
      <c r="V21" s="121"/>
      <c r="W21" s="122"/>
      <c r="X21" s="60"/>
      <c r="Y21" s="60"/>
      <c r="Z21" s="38"/>
      <c r="AB21" s="49" t="s">
        <v>66</v>
      </c>
      <c r="AD21" s="4"/>
      <c r="AE21" s="4"/>
      <c r="AF21" s="4"/>
      <c r="AG21" s="11"/>
      <c r="AH21" s="7"/>
      <c r="AI21" s="12"/>
    </row>
    <row r="22" spans="1:35" s="3" customFormat="1" ht="2.1" customHeight="1">
      <c r="A22" s="17"/>
      <c r="B22" s="35"/>
      <c r="C22" s="11"/>
      <c r="D22" s="4"/>
      <c r="E22" s="4"/>
      <c r="F22" s="4"/>
      <c r="G22" s="4"/>
      <c r="H22" s="4"/>
      <c r="I22" s="4"/>
      <c r="J22" s="16"/>
      <c r="K22" s="4"/>
      <c r="L22" s="4"/>
      <c r="M22" s="4"/>
      <c r="N22" s="4"/>
      <c r="O22" s="4"/>
      <c r="P22" s="11"/>
      <c r="Q22" s="11"/>
      <c r="R22" s="16"/>
      <c r="S22" s="4"/>
      <c r="T22" s="4"/>
      <c r="U22" s="4"/>
      <c r="V22" s="4"/>
      <c r="W22" s="4"/>
      <c r="X22" s="11"/>
      <c r="Y22" s="11"/>
      <c r="Z22" s="16"/>
      <c r="AB22" s="4"/>
      <c r="AD22" s="4"/>
      <c r="AE22" s="4"/>
      <c r="AF22" s="4"/>
      <c r="AG22" s="11"/>
      <c r="AH22" s="7"/>
      <c r="AI22" s="12"/>
    </row>
    <row r="23" spans="1:35" s="3" customFormat="1" ht="15.6" customHeight="1">
      <c r="A23" s="17"/>
      <c r="B23" s="104"/>
      <c r="C23" s="105"/>
      <c r="D23" s="105"/>
      <c r="E23" s="105"/>
      <c r="F23" s="105"/>
      <c r="G23" s="105"/>
      <c r="H23" s="106"/>
      <c r="I23" s="4"/>
      <c r="J23" s="49" t="str">
        <f>IF(J19="nein","abgeholt: in welchem Werk","")</f>
        <v/>
      </c>
      <c r="K23" s="4"/>
      <c r="M23" s="4"/>
      <c r="N23" s="4"/>
      <c r="O23" s="51"/>
      <c r="P23" s="4"/>
      <c r="Q23" s="4"/>
      <c r="R23" s="3" t="str">
        <f>IF(R21="Fixzeit Toleranz 30 Min.","Zeit","")</f>
        <v/>
      </c>
      <c r="S23" s="4"/>
      <c r="U23" s="123"/>
      <c r="V23" s="124"/>
      <c r="W23" s="125"/>
      <c r="X23" s="36"/>
      <c r="Z23" s="38"/>
      <c r="AB23" s="49" t="s">
        <v>11</v>
      </c>
      <c r="AD23" s="4"/>
      <c r="AE23" s="4"/>
      <c r="AF23" s="4"/>
      <c r="AG23" s="4"/>
      <c r="AH23" s="7"/>
      <c r="AI23" s="12"/>
    </row>
    <row r="24" spans="1:35" s="3" customFormat="1" ht="2.1" customHeight="1">
      <c r="A24" s="17"/>
      <c r="B24" s="35"/>
      <c r="C24" s="11"/>
      <c r="D24" s="4"/>
      <c r="E24" s="4"/>
      <c r="F24" s="4"/>
      <c r="G24" s="4"/>
      <c r="H24" s="4"/>
      <c r="I24" s="4"/>
      <c r="J24" s="16"/>
      <c r="K24" s="4"/>
      <c r="L24" s="4"/>
      <c r="M24" s="4"/>
      <c r="N24" s="4"/>
      <c r="O24" s="4"/>
      <c r="P24" s="4"/>
      <c r="Q24" s="4"/>
      <c r="R24" s="16"/>
      <c r="S24" s="4"/>
      <c r="T24" s="4"/>
      <c r="U24" s="4"/>
      <c r="V24" s="4"/>
      <c r="W24" s="4"/>
      <c r="X24" s="4"/>
      <c r="Y24" s="4"/>
      <c r="Z24" s="16"/>
      <c r="AB24" s="4"/>
      <c r="AD24" s="4"/>
      <c r="AE24" s="4"/>
      <c r="AF24" s="4"/>
      <c r="AG24" s="4"/>
      <c r="AH24" s="7"/>
      <c r="AI24" s="12"/>
    </row>
    <row r="25" spans="1:35" s="3" customFormat="1" ht="15.6" customHeight="1">
      <c r="A25" s="17"/>
      <c r="B25" s="104"/>
      <c r="C25" s="105"/>
      <c r="D25" s="105"/>
      <c r="E25" s="105"/>
      <c r="F25" s="105"/>
      <c r="G25" s="105"/>
      <c r="H25" s="106"/>
      <c r="I25" s="4"/>
      <c r="J25" s="107"/>
      <c r="K25" s="108"/>
      <c r="L25" s="108"/>
      <c r="M25" s="108"/>
      <c r="N25" s="108"/>
      <c r="O25" s="108"/>
      <c r="P25" s="109"/>
      <c r="Q25" s="4"/>
      <c r="R25" s="52"/>
      <c r="S25" s="4"/>
      <c r="T25" s="4"/>
      <c r="U25" s="53"/>
      <c r="V25" s="53"/>
      <c r="W25" s="53"/>
      <c r="X25" s="53"/>
      <c r="Y25" s="53"/>
      <c r="Z25" s="38"/>
      <c r="AB25" s="49" t="s">
        <v>19</v>
      </c>
      <c r="AD25" s="50"/>
      <c r="AE25" s="50"/>
      <c r="AF25" s="50"/>
      <c r="AG25" s="50"/>
      <c r="AH25" s="50"/>
      <c r="AI25" s="12"/>
    </row>
    <row r="26" spans="1:35" s="3" customFormat="1" ht="1.7" customHeight="1" thickBot="1">
      <c r="A26" s="18"/>
      <c r="B26" s="54"/>
      <c r="C26" s="11"/>
      <c r="D26" s="11"/>
      <c r="E26" s="11"/>
      <c r="F26" s="11"/>
      <c r="G26" s="11"/>
      <c r="H26" s="11"/>
      <c r="I26" s="54"/>
      <c r="J26" s="54"/>
      <c r="K26" s="11"/>
      <c r="L26" s="5"/>
      <c r="M26" s="5"/>
      <c r="N26" s="5"/>
      <c r="O26" s="5"/>
      <c r="P26" s="5"/>
      <c r="Q26" s="5"/>
      <c r="R26" s="54"/>
      <c r="S26" s="54"/>
      <c r="T26" s="11"/>
      <c r="U26" s="5"/>
      <c r="V26" s="5"/>
      <c r="W26" s="5"/>
      <c r="X26" s="5"/>
      <c r="Y26" s="5"/>
      <c r="Z26" s="5"/>
      <c r="AA26" s="5"/>
      <c r="AB26" s="54"/>
      <c r="AC26" s="54"/>
      <c r="AD26" s="11"/>
      <c r="AE26" s="5"/>
      <c r="AF26" s="5"/>
      <c r="AG26" s="5"/>
      <c r="AH26" s="5"/>
      <c r="AI26" s="19"/>
    </row>
    <row r="27" spans="1:35" s="3" customFormat="1" ht="16.350000000000001" customHeight="1" thickTop="1">
      <c r="A27" s="55" t="s">
        <v>12</v>
      </c>
      <c r="B27" s="56"/>
      <c r="C27" s="56"/>
      <c r="D27" s="56"/>
      <c r="E27" s="56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57"/>
      <c r="R27" s="58" t="s">
        <v>13</v>
      </c>
      <c r="S27" s="57"/>
      <c r="T27" s="57"/>
      <c r="U27" s="57"/>
      <c r="V27" s="57"/>
      <c r="W27" s="57"/>
      <c r="X27" s="57"/>
      <c r="Y27" s="57"/>
      <c r="Z27" s="127"/>
      <c r="AA27" s="159"/>
      <c r="AB27" s="159"/>
      <c r="AC27" s="159"/>
      <c r="AD27" s="159"/>
      <c r="AE27" s="159"/>
      <c r="AF27" s="159"/>
      <c r="AG27" s="159"/>
      <c r="AH27" s="159"/>
      <c r="AI27" s="59"/>
    </row>
    <row r="28" spans="1:35" s="3" customFormat="1" ht="16.350000000000001" customHeight="1">
      <c r="A28" s="117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5"/>
      <c r="N28" s="5"/>
      <c r="O28" s="5"/>
      <c r="P28" s="11"/>
      <c r="Q28" s="11"/>
      <c r="R28" s="11"/>
      <c r="S28" s="11"/>
      <c r="T28" s="11"/>
      <c r="U28" s="11"/>
      <c r="V28" s="11"/>
      <c r="W28" s="25"/>
      <c r="X28" s="25" t="s">
        <v>18</v>
      </c>
      <c r="Z28" s="25"/>
      <c r="AA28" s="25"/>
      <c r="AB28" s="25"/>
      <c r="AC28" s="25"/>
      <c r="AD28" s="43" t="s">
        <v>15</v>
      </c>
      <c r="AE28" s="157"/>
      <c r="AF28" s="146"/>
      <c r="AG28" s="146"/>
      <c r="AH28" s="146"/>
      <c r="AI28" s="158"/>
    </row>
    <row r="29" spans="1:35" s="3" customFormat="1" ht="16.350000000000001" customHeight="1">
      <c r="A29" s="119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5"/>
      <c r="N29" s="5"/>
      <c r="O29" s="5"/>
      <c r="P29" s="11"/>
      <c r="Q29" s="11"/>
      <c r="R29" s="11"/>
      <c r="S29" s="11"/>
      <c r="T29" s="11"/>
      <c r="U29" s="11"/>
      <c r="V29" s="11"/>
      <c r="W29" s="14"/>
      <c r="Y29" s="25" t="s">
        <v>73</v>
      </c>
      <c r="Z29" s="11"/>
      <c r="AA29" s="11"/>
      <c r="AB29" s="11"/>
      <c r="AC29" s="11"/>
      <c r="AD29" s="34"/>
      <c r="AE29" s="157"/>
      <c r="AF29" s="146"/>
      <c r="AG29" s="146"/>
      <c r="AH29" s="146"/>
      <c r="AI29" s="158"/>
    </row>
    <row r="30" spans="1:35" s="3" customFormat="1" ht="16.350000000000001" customHeight="1">
      <c r="A30" s="119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5"/>
      <c r="N30" s="5"/>
      <c r="O30" s="5"/>
      <c r="P30" s="14"/>
      <c r="Q30" s="5"/>
      <c r="R30" s="5"/>
      <c r="S30" s="5"/>
      <c r="T30" s="5"/>
      <c r="U30" s="5"/>
      <c r="V30" s="5"/>
      <c r="W30" s="14"/>
      <c r="Y30" s="25" t="s">
        <v>68</v>
      </c>
      <c r="Z30" s="14"/>
      <c r="AA30" s="39"/>
      <c r="AB30" s="39"/>
      <c r="AC30" s="39"/>
      <c r="AD30" s="34"/>
      <c r="AE30" s="161" t="str">
        <f>IF(AE28="","",SUM((AE28-AE29))*1000)</f>
        <v/>
      </c>
      <c r="AF30" s="162"/>
      <c r="AG30" s="162"/>
      <c r="AH30" s="162"/>
      <c r="AI30" s="163"/>
    </row>
    <row r="31" spans="1:35" s="3" customFormat="1" ht="16.350000000000001" customHeight="1">
      <c r="A31" s="119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5"/>
      <c r="N31" s="5"/>
      <c r="O31" s="5"/>
      <c r="P31" s="5"/>
      <c r="Q31" s="5"/>
      <c r="R31" s="5"/>
      <c r="S31" s="5"/>
      <c r="T31" s="5"/>
      <c r="U31" s="5"/>
      <c r="V31" s="5"/>
      <c r="W31" s="14"/>
      <c r="Y31" s="23" t="s">
        <v>54</v>
      </c>
      <c r="Z31" s="23"/>
      <c r="AA31" s="23"/>
      <c r="AB31" s="23"/>
      <c r="AC31" s="23"/>
      <c r="AD31" s="25" t="s">
        <v>14</v>
      </c>
      <c r="AE31" s="137"/>
      <c r="AF31" s="138"/>
      <c r="AG31" s="138"/>
      <c r="AH31" s="138"/>
      <c r="AI31" s="44"/>
    </row>
    <row r="32" spans="1:35" s="3" customFormat="1" ht="16.350000000000001" customHeight="1">
      <c r="A32" s="119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5"/>
      <c r="N32" s="5"/>
      <c r="O32" s="5"/>
      <c r="P32" s="5"/>
      <c r="Q32" s="5"/>
      <c r="R32" s="5"/>
      <c r="S32" s="5"/>
      <c r="T32" s="5"/>
      <c r="U32" s="5"/>
      <c r="V32" s="5"/>
      <c r="W32" s="14"/>
      <c r="Y32" s="25" t="s">
        <v>56</v>
      </c>
      <c r="AC32" s="24"/>
      <c r="AD32" s="25" t="s">
        <v>17</v>
      </c>
      <c r="AE32" s="137"/>
      <c r="AF32" s="138"/>
      <c r="AG32" s="138"/>
      <c r="AH32" s="138"/>
      <c r="AI32" s="45"/>
    </row>
    <row r="33" spans="1:35" s="3" customFormat="1" ht="16.350000000000001" customHeight="1">
      <c r="A33" s="119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5"/>
      <c r="N33" s="5"/>
      <c r="O33" s="5"/>
      <c r="P33" s="5"/>
      <c r="Q33" s="5"/>
      <c r="R33" s="5"/>
      <c r="S33" s="5"/>
      <c r="T33" s="5"/>
      <c r="U33" s="5"/>
      <c r="V33" s="5"/>
      <c r="W33" s="14"/>
      <c r="Y33" s="25" t="str">
        <f>IF(Z27=1000,"","Überrgangsplatte")</f>
        <v>Überrgangsplatte</v>
      </c>
      <c r="Z33" s="39"/>
      <c r="AA33" s="39"/>
      <c r="AB33" s="39"/>
      <c r="AC33" s="39"/>
      <c r="AD33" s="25" t="s">
        <v>60</v>
      </c>
      <c r="AE33" s="126"/>
      <c r="AF33" s="112"/>
      <c r="AG33" s="112"/>
      <c r="AH33" s="112"/>
      <c r="AI33" s="45"/>
    </row>
    <row r="34" spans="1:35" s="3" customFormat="1" ht="16.350000000000001" customHeight="1">
      <c r="A34" s="119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5"/>
      <c r="N34" s="5"/>
      <c r="O34" s="5"/>
      <c r="P34" s="5"/>
      <c r="Q34" s="5"/>
      <c r="R34" s="5"/>
      <c r="S34" s="5"/>
      <c r="T34" s="5"/>
      <c r="U34" s="5"/>
      <c r="V34" s="5"/>
      <c r="W34" s="14"/>
      <c r="X34" s="25"/>
      <c r="Y34" s="25" t="str">
        <f>IF($AE$30="","",IF($AE$31+$AE$32+$AE$33&gt;4999,"Ruhepodest?",""))</f>
        <v/>
      </c>
      <c r="AB34" s="25"/>
      <c r="AD34" s="25" t="str">
        <f>IF($AE$30="","",IF($AE$31+$AE$32+$AE$33&gt;4999,"h2",""))</f>
        <v/>
      </c>
      <c r="AE34" s="137"/>
      <c r="AF34" s="138"/>
      <c r="AG34" s="138"/>
      <c r="AH34" s="138"/>
      <c r="AI34" s="45"/>
    </row>
    <row r="35" spans="1:35" s="3" customFormat="1" ht="16.350000000000001" customHeight="1">
      <c r="A35" s="119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5"/>
      <c r="N35" s="5"/>
      <c r="O35" s="5"/>
      <c r="P35" s="5"/>
      <c r="Q35" s="5"/>
      <c r="R35" s="5"/>
      <c r="S35" s="5"/>
      <c r="T35" s="5"/>
      <c r="U35" s="5"/>
      <c r="V35" s="5"/>
      <c r="W35" s="14"/>
      <c r="Y35" s="25" t="str">
        <f>IF($AE$33="","","Schachtring")</f>
        <v/>
      </c>
      <c r="AC35" s="24"/>
      <c r="AD35" s="25" t="str">
        <f>IF($AE$33="","","h4")</f>
        <v/>
      </c>
      <c r="AE35" s="137"/>
      <c r="AF35" s="138"/>
      <c r="AG35" s="138"/>
      <c r="AH35" s="138"/>
      <c r="AI35" s="45"/>
    </row>
    <row r="36" spans="1:35" s="3" customFormat="1" ht="16.350000000000001" customHeight="1">
      <c r="A36" s="119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5"/>
      <c r="N36" s="5"/>
      <c r="O36" s="5"/>
      <c r="P36" s="5"/>
      <c r="Q36" s="5"/>
      <c r="R36" s="5"/>
      <c r="S36" s="5"/>
      <c r="T36" s="5"/>
      <c r="U36" s="5"/>
      <c r="V36" s="5"/>
      <c r="W36" s="14"/>
      <c r="Y36" s="25" t="str">
        <f>IF($AE$35="","",IF(AND($AE$35&gt;4300,$AE$33=250),"Ruhepodest?",""))</f>
        <v/>
      </c>
      <c r="AB36" s="25"/>
      <c r="AD36" s="25" t="str">
        <f>IF($AE$35="","",IF(AND($AE$35&gt;4300,$AE$33=250),"h4",""))</f>
        <v/>
      </c>
      <c r="AE36" s="137"/>
      <c r="AF36" s="138"/>
      <c r="AG36" s="138"/>
      <c r="AH36" s="138"/>
      <c r="AI36" s="45"/>
    </row>
    <row r="37" spans="1:35" s="3" customFormat="1" ht="16.350000000000001" customHeight="1">
      <c r="A37" s="119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5"/>
      <c r="N37" s="5"/>
      <c r="O37" s="5"/>
      <c r="P37" s="5"/>
      <c r="Q37" s="5"/>
      <c r="R37" s="5"/>
      <c r="S37" s="5"/>
      <c r="T37" s="5"/>
      <c r="U37" s="5"/>
      <c r="V37" s="5"/>
      <c r="W37" s="14"/>
      <c r="Y37" s="25" t="str">
        <f>IF(AE33=250,"Konus DN2 / 600","Konus DN1 / 600")</f>
        <v>Konus DN1 / 600</v>
      </c>
      <c r="Z37" s="39"/>
      <c r="AA37" s="39"/>
      <c r="AB37" s="39"/>
      <c r="AC37" s="39"/>
      <c r="AD37" s="34"/>
      <c r="AE37" s="137"/>
      <c r="AF37" s="138"/>
      <c r="AG37" s="138"/>
      <c r="AH37" s="138"/>
      <c r="AI37" s="45"/>
    </row>
    <row r="38" spans="1:35" s="3" customFormat="1" ht="16.350000000000001" customHeight="1">
      <c r="A38" s="119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5"/>
      <c r="N38" s="5"/>
      <c r="O38" s="5"/>
      <c r="P38" s="5"/>
      <c r="Q38" s="5"/>
      <c r="R38" s="5"/>
      <c r="S38" s="5"/>
      <c r="T38" s="5"/>
      <c r="U38" s="5"/>
      <c r="V38" s="5"/>
      <c r="W38" s="14"/>
      <c r="Y38" s="25" t="str">
        <f>IF(AE33="","","RIKO DN2 / 600")</f>
        <v/>
      </c>
      <c r="AD38" s="34"/>
      <c r="AE38" s="137"/>
      <c r="AF38" s="138"/>
      <c r="AG38" s="138"/>
      <c r="AH38" s="138"/>
      <c r="AI38" s="45"/>
    </row>
    <row r="39" spans="1:35" s="3" customFormat="1" ht="16.350000000000001" customHeight="1">
      <c r="A39" s="119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5"/>
      <c r="N39" s="5"/>
      <c r="O39" s="5"/>
      <c r="P39" s="5"/>
      <c r="Q39" s="5"/>
      <c r="R39" s="5"/>
      <c r="S39" s="5"/>
      <c r="T39" s="5"/>
      <c r="U39" s="5"/>
      <c r="V39" s="5"/>
      <c r="W39" s="14"/>
      <c r="Y39" s="25" t="str">
        <f>IF($AE$33="","Abdeckplatte D1","Abdeckplatte D2")</f>
        <v>Abdeckplatte D1</v>
      </c>
      <c r="AD39" s="25" t="str">
        <f>IF($AE$33="","h3","h5")</f>
        <v>h3</v>
      </c>
      <c r="AE39" s="126"/>
      <c r="AF39" s="112"/>
      <c r="AG39" s="112"/>
      <c r="AH39" s="112"/>
      <c r="AI39" s="44"/>
    </row>
    <row r="40" spans="1:35" s="3" customFormat="1" ht="16.350000000000001" customHeight="1">
      <c r="A40" s="119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5"/>
      <c r="N40" s="5"/>
      <c r="O40" s="5"/>
      <c r="P40" s="5"/>
      <c r="Q40" s="5"/>
      <c r="R40" s="5"/>
      <c r="S40" s="5"/>
      <c r="T40" s="5"/>
      <c r="U40" s="5"/>
      <c r="V40" s="5"/>
      <c r="W40" s="14"/>
      <c r="Y40" s="25" t="s">
        <v>55</v>
      </c>
      <c r="Z40" s="39"/>
      <c r="AA40" s="39"/>
      <c r="AB40" s="39"/>
      <c r="AC40" s="39"/>
      <c r="AD40" s="34" t="s">
        <v>58</v>
      </c>
      <c r="AE40" s="160" t="str">
        <f>IF(SUM($AE$31:$AH$38)=0,"",(SUM(AE31:AH39)))</f>
        <v/>
      </c>
      <c r="AF40" s="112"/>
      <c r="AG40" s="112"/>
      <c r="AH40" s="112"/>
      <c r="AI40" s="46"/>
    </row>
    <row r="41" spans="1:35" s="3" customFormat="1" ht="16.350000000000001" customHeight="1">
      <c r="A41" s="119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5"/>
      <c r="N41" s="5"/>
      <c r="O41" s="5"/>
      <c r="P41" s="5"/>
      <c r="Q41" s="5"/>
      <c r="R41" s="5"/>
      <c r="S41" s="5"/>
      <c r="T41" s="5"/>
      <c r="U41" s="5"/>
      <c r="V41" s="5"/>
      <c r="W41" s="14"/>
      <c r="X41" s="39"/>
      <c r="Y41" s="25" t="s">
        <v>70</v>
      </c>
      <c r="Z41" s="39"/>
      <c r="AA41" s="39"/>
      <c r="AB41" s="39"/>
      <c r="AC41" s="39"/>
      <c r="AD41" s="34" t="s">
        <v>59</v>
      </c>
      <c r="AE41" s="142"/>
      <c r="AF41" s="143"/>
      <c r="AG41" s="143"/>
      <c r="AH41" s="143"/>
      <c r="AI41" s="144"/>
    </row>
    <row r="42" spans="1:35" s="3" customFormat="1" ht="16.350000000000001" customHeight="1">
      <c r="A42" s="119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5"/>
      <c r="N42" s="5"/>
      <c r="O42" s="5"/>
      <c r="P42" s="5"/>
      <c r="Q42" s="5"/>
      <c r="R42" s="5"/>
      <c r="S42" s="5"/>
      <c r="T42" s="5"/>
      <c r="U42" s="5"/>
      <c r="V42" s="39" t="s">
        <v>8</v>
      </c>
      <c r="W42" s="14"/>
      <c r="Y42" s="25" t="s">
        <v>55</v>
      </c>
      <c r="Z42" s="5"/>
      <c r="AA42" s="5"/>
      <c r="AB42" s="5"/>
      <c r="AC42" s="5"/>
      <c r="AD42" s="34" t="s">
        <v>16</v>
      </c>
      <c r="AE42" s="113" t="str">
        <f>IF(AE40="","",AE40+AE41)</f>
        <v/>
      </c>
      <c r="AF42" s="114"/>
      <c r="AG42" s="114"/>
      <c r="AH42" s="114"/>
      <c r="AI42" s="67"/>
    </row>
    <row r="43" spans="1:35" s="3" customFormat="1" ht="16.350000000000001" customHeight="1">
      <c r="A43" s="119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5"/>
      <c r="N43" s="5"/>
      <c r="O43" s="5"/>
      <c r="P43" s="5"/>
      <c r="Q43" s="5"/>
      <c r="R43" s="5"/>
      <c r="S43" s="5"/>
      <c r="T43" s="5"/>
      <c r="U43" s="5"/>
      <c r="V43" s="5"/>
      <c r="Y43" s="25" t="s">
        <v>74</v>
      </c>
      <c r="Z43" s="5"/>
      <c r="AA43" s="5"/>
      <c r="AB43" s="5"/>
      <c r="AC43" s="5"/>
      <c r="AE43" s="146" t="str">
        <f>IF($Z$27="","",(($AE28-(AE42/1000))))</f>
        <v/>
      </c>
      <c r="AF43" s="147"/>
      <c r="AG43" s="147"/>
      <c r="AH43" s="147"/>
      <c r="AI43" s="67"/>
    </row>
    <row r="44" spans="1:35" s="3" customFormat="1" ht="16.350000000000001" customHeight="1">
      <c r="A44" s="119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5"/>
      <c r="N44" s="5"/>
      <c r="O44" s="5"/>
      <c r="P44" s="5"/>
      <c r="Q44" s="48"/>
      <c r="R44" s="4"/>
      <c r="S44" s="5"/>
      <c r="T44" s="4"/>
      <c r="U44" s="4"/>
      <c r="V44" s="4"/>
      <c r="W44" s="36"/>
      <c r="Y44" s="70"/>
      <c r="Z44" s="71"/>
      <c r="AA44" s="71"/>
      <c r="AB44" s="71"/>
      <c r="AC44" s="71"/>
      <c r="AD44" s="72"/>
      <c r="AE44" s="70"/>
      <c r="AF44" s="154" t="str">
        <f>IF($AE$43="Konus Typ BS","ohne Muffe","")</f>
        <v/>
      </c>
      <c r="AG44" s="118"/>
      <c r="AH44" s="118"/>
      <c r="AI44" s="156"/>
    </row>
    <row r="45" spans="1:35" s="3" customFormat="1" ht="3.6" customHeight="1">
      <c r="A45" s="26"/>
      <c r="B45" s="27"/>
      <c r="C45" s="27"/>
      <c r="D45" s="27"/>
      <c r="E45" s="27"/>
      <c r="F45" s="27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9"/>
    </row>
    <row r="46" spans="1:35" s="3" customFormat="1" ht="17.100000000000001" customHeight="1">
      <c r="A46" s="22" t="s">
        <v>20</v>
      </c>
      <c r="B46" s="5"/>
      <c r="C46" s="5"/>
      <c r="D46" s="5"/>
      <c r="E46" s="5"/>
      <c r="F46" s="5"/>
      <c r="G46" s="139" t="s">
        <v>26</v>
      </c>
      <c r="H46" s="139"/>
      <c r="I46" s="139"/>
      <c r="J46" s="139"/>
      <c r="K46" s="20"/>
      <c r="L46" s="139" t="s">
        <v>27</v>
      </c>
      <c r="M46" s="139"/>
      <c r="N46" s="139"/>
      <c r="O46" s="139"/>
      <c r="P46" s="20"/>
      <c r="Q46" s="139" t="s">
        <v>28</v>
      </c>
      <c r="R46" s="139"/>
      <c r="S46" s="139"/>
      <c r="T46" s="139"/>
      <c r="U46" s="20"/>
      <c r="V46" s="139" t="s">
        <v>29</v>
      </c>
      <c r="W46" s="139"/>
      <c r="X46" s="139"/>
      <c r="Y46" s="139"/>
      <c r="Z46" s="20"/>
      <c r="AA46" s="139" t="s">
        <v>30</v>
      </c>
      <c r="AB46" s="139"/>
      <c r="AC46" s="139"/>
      <c r="AD46" s="139"/>
      <c r="AE46" s="20"/>
      <c r="AF46" s="139" t="s">
        <v>31</v>
      </c>
      <c r="AG46" s="139"/>
      <c r="AH46" s="139"/>
      <c r="AI46" s="140"/>
    </row>
    <row r="47" spans="1:35" s="3" customFormat="1" ht="15.6" customHeight="1">
      <c r="A47" s="22" t="s">
        <v>21</v>
      </c>
      <c r="B47" s="5"/>
      <c r="C47" s="5"/>
      <c r="D47" s="5"/>
      <c r="E47" s="5"/>
      <c r="F47" s="5"/>
      <c r="G47" s="95"/>
      <c r="H47" s="95"/>
      <c r="I47" s="95"/>
      <c r="J47" s="95"/>
      <c r="K47" s="35"/>
      <c r="L47" s="95"/>
      <c r="M47" s="95"/>
      <c r="N47" s="95"/>
      <c r="O47" s="95"/>
      <c r="P47" s="35"/>
      <c r="Q47" s="95"/>
      <c r="R47" s="95"/>
      <c r="S47" s="95"/>
      <c r="T47" s="95"/>
      <c r="U47" s="35"/>
      <c r="V47" s="95"/>
      <c r="W47" s="95"/>
      <c r="X47" s="95"/>
      <c r="Y47" s="95"/>
      <c r="Z47" s="35"/>
      <c r="AA47" s="95"/>
      <c r="AB47" s="95"/>
      <c r="AC47" s="95"/>
      <c r="AD47" s="95"/>
      <c r="AE47" s="35"/>
      <c r="AF47" s="95"/>
      <c r="AG47" s="95"/>
      <c r="AH47" s="95"/>
      <c r="AI47" s="131"/>
    </row>
    <row r="48" spans="1:35" s="3" customFormat="1" ht="15.6" customHeight="1">
      <c r="A48" s="22" t="s">
        <v>22</v>
      </c>
      <c r="B48" s="5"/>
      <c r="C48" s="5"/>
      <c r="D48" s="5"/>
      <c r="E48" s="5"/>
      <c r="F48" s="5"/>
      <c r="G48" s="95"/>
      <c r="H48" s="95"/>
      <c r="I48" s="95"/>
      <c r="J48" s="95"/>
      <c r="K48" s="35"/>
      <c r="L48" s="95"/>
      <c r="M48" s="95"/>
      <c r="N48" s="95"/>
      <c r="O48" s="95"/>
      <c r="P48" s="35"/>
      <c r="Q48" s="95"/>
      <c r="R48" s="95"/>
      <c r="S48" s="95"/>
      <c r="T48" s="95"/>
      <c r="U48" s="35"/>
      <c r="V48" s="95"/>
      <c r="W48" s="95"/>
      <c r="X48" s="95"/>
      <c r="Y48" s="95"/>
      <c r="Z48" s="35"/>
      <c r="AA48" s="95"/>
      <c r="AB48" s="95"/>
      <c r="AC48" s="95"/>
      <c r="AD48" s="95"/>
      <c r="AE48" s="35"/>
      <c r="AF48" s="95"/>
      <c r="AG48" s="95"/>
      <c r="AH48" s="95"/>
      <c r="AI48" s="131"/>
    </row>
    <row r="49" spans="1:35" s="3" customFormat="1" ht="15.6" customHeight="1">
      <c r="A49" s="22" t="s">
        <v>23</v>
      </c>
      <c r="B49" s="5"/>
      <c r="C49" s="5"/>
      <c r="D49" s="5"/>
      <c r="E49" s="5"/>
      <c r="F49" s="5"/>
      <c r="G49" s="134"/>
      <c r="H49" s="134"/>
      <c r="I49" s="134"/>
      <c r="J49" s="134"/>
      <c r="K49" s="35"/>
      <c r="L49" s="134"/>
      <c r="M49" s="134"/>
      <c r="N49" s="134"/>
      <c r="O49" s="134"/>
      <c r="P49" s="35"/>
      <c r="Q49" s="134"/>
      <c r="R49" s="134"/>
      <c r="S49" s="134"/>
      <c r="T49" s="134"/>
      <c r="U49" s="35"/>
      <c r="V49" s="134"/>
      <c r="W49" s="134"/>
      <c r="X49" s="134"/>
      <c r="Y49" s="134"/>
      <c r="Z49" s="35"/>
      <c r="AA49" s="134"/>
      <c r="AB49" s="134"/>
      <c r="AC49" s="134"/>
      <c r="AD49" s="134"/>
      <c r="AE49" s="35"/>
      <c r="AF49" s="134"/>
      <c r="AG49" s="134"/>
      <c r="AH49" s="134"/>
      <c r="AI49" s="136"/>
    </row>
    <row r="50" spans="1:35" s="3" customFormat="1" ht="15.6" customHeight="1">
      <c r="A50" s="22" t="s">
        <v>24</v>
      </c>
      <c r="B50" s="5"/>
      <c r="C50" s="5"/>
      <c r="D50" s="5"/>
      <c r="E50" s="5"/>
      <c r="F50" s="5"/>
      <c r="G50" s="93"/>
      <c r="H50" s="93"/>
      <c r="I50" s="93"/>
      <c r="J50" s="93"/>
      <c r="K50" s="37"/>
      <c r="L50" s="93"/>
      <c r="M50" s="93"/>
      <c r="N50" s="93"/>
      <c r="O50" s="93"/>
      <c r="P50" s="37"/>
      <c r="Q50" s="93"/>
      <c r="R50" s="93"/>
      <c r="S50" s="93"/>
      <c r="T50" s="93"/>
      <c r="U50" s="37"/>
      <c r="V50" s="93"/>
      <c r="W50" s="93"/>
      <c r="X50" s="93"/>
      <c r="Y50" s="93"/>
      <c r="Z50" s="37"/>
      <c r="AA50" s="93"/>
      <c r="AB50" s="93"/>
      <c r="AC50" s="93"/>
      <c r="AD50" s="93"/>
      <c r="AE50" s="37"/>
      <c r="AF50" s="93"/>
      <c r="AG50" s="93"/>
      <c r="AH50" s="93"/>
      <c r="AI50" s="94"/>
    </row>
    <row r="51" spans="1:35" s="3" customFormat="1" ht="15.6" customHeight="1">
      <c r="A51" s="22" t="s">
        <v>25</v>
      </c>
      <c r="B51" s="5"/>
      <c r="C51" s="5"/>
      <c r="D51" s="5"/>
      <c r="E51" s="5"/>
      <c r="F51" s="5"/>
      <c r="G51" s="93"/>
      <c r="H51" s="93"/>
      <c r="I51" s="93"/>
      <c r="J51" s="93"/>
      <c r="K51" s="37"/>
      <c r="L51" s="93"/>
      <c r="M51" s="93"/>
      <c r="N51" s="93"/>
      <c r="O51" s="93"/>
      <c r="P51" s="37"/>
      <c r="Q51" s="93"/>
      <c r="R51" s="93"/>
      <c r="S51" s="93"/>
      <c r="T51" s="93"/>
      <c r="U51" s="37"/>
      <c r="V51" s="93"/>
      <c r="W51" s="93"/>
      <c r="X51" s="93"/>
      <c r="Y51" s="93"/>
      <c r="Z51" s="37"/>
      <c r="AA51" s="93"/>
      <c r="AB51" s="93"/>
      <c r="AC51" s="93"/>
      <c r="AD51" s="93"/>
      <c r="AE51" s="37"/>
      <c r="AF51" s="93"/>
      <c r="AG51" s="93"/>
      <c r="AH51" s="93"/>
      <c r="AI51" s="94"/>
    </row>
    <row r="52" spans="1:35" s="3" customFormat="1" ht="15.6" customHeight="1">
      <c r="A52" s="47" t="s">
        <v>57</v>
      </c>
      <c r="B52" s="5"/>
      <c r="C52" s="5"/>
      <c r="D52" s="5"/>
      <c r="E52" s="5"/>
      <c r="F52" s="5"/>
      <c r="G52" s="35"/>
      <c r="H52" s="35"/>
      <c r="I52" s="35"/>
      <c r="J52" s="35"/>
      <c r="K52" s="35"/>
      <c r="L52" s="93"/>
      <c r="M52" s="93"/>
      <c r="N52" s="93"/>
      <c r="O52" s="93"/>
      <c r="P52" s="37"/>
      <c r="Q52" s="93"/>
      <c r="R52" s="93"/>
      <c r="S52" s="93"/>
      <c r="T52" s="93"/>
      <c r="U52" s="37"/>
      <c r="V52" s="93"/>
      <c r="W52" s="93"/>
      <c r="X52" s="93"/>
      <c r="Y52" s="93"/>
      <c r="Z52" s="37"/>
      <c r="AA52" s="93"/>
      <c r="AB52" s="93"/>
      <c r="AC52" s="93"/>
      <c r="AD52" s="93"/>
      <c r="AE52" s="37"/>
      <c r="AF52" s="93"/>
      <c r="AG52" s="93"/>
      <c r="AH52" s="93"/>
      <c r="AI52" s="94"/>
    </row>
    <row r="53" spans="1:35" s="3" customFormat="1" ht="16.5" customHeight="1">
      <c r="A53" s="47" t="s">
        <v>72</v>
      </c>
      <c r="B53" s="39"/>
      <c r="C53" s="39"/>
      <c r="D53" s="39"/>
      <c r="E53" s="39"/>
      <c r="F53" s="39"/>
      <c r="G53" s="141" t="str">
        <f>IF($G$51="","",(G51-$AE$43)*1000-120)</f>
        <v/>
      </c>
      <c r="H53" s="141"/>
      <c r="I53" s="141"/>
      <c r="J53" s="141"/>
      <c r="K53" s="69"/>
      <c r="L53" s="141" t="str">
        <f>IF(L51="","",(L51-$AE$43)*1000-120)</f>
        <v/>
      </c>
      <c r="M53" s="141"/>
      <c r="N53" s="141"/>
      <c r="O53" s="141"/>
      <c r="P53" s="69"/>
      <c r="Q53" s="141" t="str">
        <f>IF(Q51="","",(Q51-$AE$43)*1000-120)</f>
        <v/>
      </c>
      <c r="R53" s="141"/>
      <c r="S53" s="141"/>
      <c r="T53" s="141"/>
      <c r="U53" s="69"/>
      <c r="V53" s="141" t="str">
        <f>IF(V51="","",(V51-$AE$43)*1000-120)</f>
        <v/>
      </c>
      <c r="W53" s="141"/>
      <c r="X53" s="141"/>
      <c r="Y53" s="141"/>
      <c r="Z53" s="69"/>
      <c r="AA53" s="141" t="str">
        <f>IF(AA51="","",(AA51-$AE$43)*1000-120)</f>
        <v/>
      </c>
      <c r="AB53" s="141"/>
      <c r="AC53" s="141"/>
      <c r="AD53" s="141"/>
      <c r="AE53" s="69"/>
      <c r="AF53" s="141" t="str">
        <f>IF(AF51="","",(AF51-$AE$43)*1000-120)</f>
        <v/>
      </c>
      <c r="AG53" s="141"/>
      <c r="AH53" s="141"/>
      <c r="AI53" s="141"/>
    </row>
    <row r="54" spans="1:35" s="3" customFormat="1" ht="3.6" customHeight="1">
      <c r="A54" s="22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19"/>
    </row>
    <row r="55" spans="1:35" s="3" customFormat="1" ht="3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8"/>
    </row>
    <row r="56" spans="1:35" s="6" customFormat="1" ht="15.6" customHeight="1">
      <c r="A56" s="29" t="s">
        <v>32</v>
      </c>
      <c r="B56" s="30"/>
      <c r="C56" s="30"/>
      <c r="D56" s="30"/>
      <c r="E56" s="30"/>
      <c r="F56" s="135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90"/>
    </row>
    <row r="57" spans="1:35" s="6" customFormat="1" ht="15.6" customHeight="1">
      <c r="A57" s="29"/>
      <c r="B57" s="30"/>
      <c r="C57" s="30"/>
      <c r="D57" s="30"/>
      <c r="E57" s="30"/>
      <c r="F57" s="135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90"/>
    </row>
    <row r="58" spans="1:35" s="6" customFormat="1" ht="2.1" customHeight="1">
      <c r="A58" s="31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3"/>
    </row>
    <row r="59" spans="1:35" s="6" customFormat="1" ht="2.1" customHeight="1">
      <c r="A59" s="132"/>
      <c r="B59" s="133"/>
      <c r="C59" s="133"/>
      <c r="D59" s="133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3"/>
    </row>
    <row r="60" spans="1:35">
      <c r="A60" s="34" t="s">
        <v>75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>
      <c r="B61" s="8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F61" s="34"/>
      <c r="AG61" s="5"/>
      <c r="AH61" s="5"/>
      <c r="AI61" s="5"/>
    </row>
  </sheetData>
  <sheetProtection algorithmName="SHA-512" hashValue="ZmGw7cTckgi1rMI8G1LxVp6PsvL7+yH8FGHGMboZX10nWDGTTT4LxGEHETD+HeYJPGgbW6b8NuvVqeOPAfbVhw==" saltValue="jSb+X4fXYd4wlKxfiDbB3A==" spinCount="100000" sheet="1" objects="1" scenarios="1"/>
  <protectedRanges>
    <protectedRange sqref="AE41:AI41" name="Bereich32"/>
    <protectedRange sqref="Y44" name="Bereich33"/>
    <protectedRange sqref="F56:AI57" name="Bereich31"/>
    <protectedRange sqref="AA47:AD52" name="Bereich29"/>
    <protectedRange sqref="Q47:T52" name="Bereich27"/>
    <protectedRange sqref="G47:J50" name="Bereich25"/>
    <protectedRange sqref="Y44" name="Bereich23"/>
    <protectedRange sqref="AE28:AI29" name="Bereich21"/>
    <protectedRange sqref="F27:P27" name="Bereich19"/>
    <protectedRange sqref="U23:W23" name="Bereich17"/>
    <protectedRange sqref="X15:AI15" name="Bereich12"/>
    <protectedRange sqref="J8:P8" name="Bereich10"/>
    <protectedRange sqref="A9:P11" name="Bereich3"/>
    <protectedRange sqref="E12:P14" name="Bereich4"/>
    <protectedRange sqref="R9:AI11" name="Bereich6"/>
    <protectedRange sqref="V12:AI14" name="Bereich7"/>
    <protectedRange sqref="AD8:AI8" name="Bereich9"/>
    <protectedRange sqref="G15:P15" name="Bereich11"/>
    <protectedRange sqref="J19:K19 J21:K21 J17:K17" name="Bereich13"/>
    <protectedRange sqref="B23:H23 B25:H25" name="Bereich14"/>
    <protectedRange sqref="J25:P25" name="Bereich15"/>
    <protectedRange sqref="R21:W21" name="Bereich16"/>
    <protectedRange sqref="Z19 Z21 Z23 Z25 Z17" name="Bereich18"/>
    <protectedRange sqref="Z27:AH27" name="Bereich20"/>
    <protectedRange sqref="AE31:AH39" name="Bereich22"/>
    <protectedRange sqref="AE44" name="Bereich24"/>
    <protectedRange sqref="L47:O52 G51:J51" name="Bereich26"/>
    <protectedRange sqref="V47:Y52" name="Bereich28"/>
    <protectedRange sqref="AF47:AI52" name="Bereich30"/>
  </protectedRanges>
  <dataConsolidate/>
  <mergeCells count="109">
    <mergeCell ref="AE41:AI41"/>
    <mergeCell ref="B25:H25"/>
    <mergeCell ref="J19:K19"/>
    <mergeCell ref="AA48:AD48"/>
    <mergeCell ref="AA49:AD49"/>
    <mergeCell ref="AA50:AD50"/>
    <mergeCell ref="AA51:AD51"/>
    <mergeCell ref="AE43:AH43"/>
    <mergeCell ref="J8:P8"/>
    <mergeCell ref="R8:Z8"/>
    <mergeCell ref="AA8:AC8"/>
    <mergeCell ref="AD8:AI8"/>
    <mergeCell ref="B17:P17"/>
    <mergeCell ref="R17:W17"/>
    <mergeCell ref="AF44:AI44"/>
    <mergeCell ref="AE29:AI29"/>
    <mergeCell ref="Z27:AH27"/>
    <mergeCell ref="AE38:AH38"/>
    <mergeCell ref="AE40:AH40"/>
    <mergeCell ref="AE28:AI28"/>
    <mergeCell ref="AE30:AI30"/>
    <mergeCell ref="AE37:AH37"/>
    <mergeCell ref="AE31:AH31"/>
    <mergeCell ref="AE32:AH32"/>
    <mergeCell ref="AE34:AH34"/>
    <mergeCell ref="AE35:AH35"/>
    <mergeCell ref="E13:P13"/>
    <mergeCell ref="AE33:AH33"/>
    <mergeCell ref="AE36:AH36"/>
    <mergeCell ref="F56:AI56"/>
    <mergeCell ref="V47:Y47"/>
    <mergeCell ref="V48:Y48"/>
    <mergeCell ref="V46:Y46"/>
    <mergeCell ref="Q46:T46"/>
    <mergeCell ref="L46:O46"/>
    <mergeCell ref="G46:J46"/>
    <mergeCell ref="AF46:AI46"/>
    <mergeCell ref="AA46:AD46"/>
    <mergeCell ref="G53:J53"/>
    <mergeCell ref="L53:O53"/>
    <mergeCell ref="Q53:T53"/>
    <mergeCell ref="V53:Y53"/>
    <mergeCell ref="AA53:AD53"/>
    <mergeCell ref="AF53:AI53"/>
    <mergeCell ref="V49:Y49"/>
    <mergeCell ref="V50:Y50"/>
    <mergeCell ref="V51:Y51"/>
    <mergeCell ref="V52:Y52"/>
    <mergeCell ref="AA52:AD52"/>
    <mergeCell ref="AF47:AI47"/>
    <mergeCell ref="AF48:AI48"/>
    <mergeCell ref="A59:D59"/>
    <mergeCell ref="Q47:T47"/>
    <mergeCell ref="Q48:T48"/>
    <mergeCell ref="Q49:T49"/>
    <mergeCell ref="Q50:T50"/>
    <mergeCell ref="Q51:T51"/>
    <mergeCell ref="L47:O47"/>
    <mergeCell ref="L48:O48"/>
    <mergeCell ref="L49:O49"/>
    <mergeCell ref="L50:O50"/>
    <mergeCell ref="L51:O51"/>
    <mergeCell ref="Q52:T52"/>
    <mergeCell ref="F57:AI57"/>
    <mergeCell ref="L52:O52"/>
    <mergeCell ref="G47:J47"/>
    <mergeCell ref="G48:J48"/>
    <mergeCell ref="G49:J49"/>
    <mergeCell ref="G50:J50"/>
    <mergeCell ref="G51:J51"/>
    <mergeCell ref="AF49:AI49"/>
    <mergeCell ref="AF50:AI50"/>
    <mergeCell ref="AF51:AI51"/>
    <mergeCell ref="AF52:AI52"/>
    <mergeCell ref="AA47:AD47"/>
    <mergeCell ref="R14:U14"/>
    <mergeCell ref="V14:AI14"/>
    <mergeCell ref="R13:U13"/>
    <mergeCell ref="G15:P15"/>
    <mergeCell ref="X15:AI15"/>
    <mergeCell ref="B23:H23"/>
    <mergeCell ref="J25:P25"/>
    <mergeCell ref="J21:K21"/>
    <mergeCell ref="X17:AH17"/>
    <mergeCell ref="A13:D13"/>
    <mergeCell ref="AE42:AH42"/>
    <mergeCell ref="R19:Y19"/>
    <mergeCell ref="A28:L44"/>
    <mergeCell ref="R21:W21"/>
    <mergeCell ref="U23:W23"/>
    <mergeCell ref="AE39:AH39"/>
    <mergeCell ref="E14:P14"/>
    <mergeCell ref="F27:P27"/>
    <mergeCell ref="A15:F15"/>
    <mergeCell ref="R15:W15"/>
    <mergeCell ref="V13:AI13"/>
    <mergeCell ref="A14:D14"/>
    <mergeCell ref="R6:AI7"/>
    <mergeCell ref="A9:P9"/>
    <mergeCell ref="A10:P10"/>
    <mergeCell ref="A11:P11"/>
    <mergeCell ref="A6:Q7"/>
    <mergeCell ref="R9:AI9"/>
    <mergeCell ref="R10:AI10"/>
    <mergeCell ref="R11:AI11"/>
    <mergeCell ref="V12:AI12"/>
    <mergeCell ref="A12:D12"/>
    <mergeCell ref="R12:U12"/>
    <mergeCell ref="E12:P12"/>
  </mergeCells>
  <phoneticPr fontId="3" type="noConversion"/>
  <dataValidations count="21">
    <dataValidation type="list" allowBlank="1" showInputMessage="1" showErrorMessage="1" sqref="Z27:AH27" xr:uid="{00000000-0002-0000-0000-000004000000}">
      <formula1>$A$4:$E$4</formula1>
    </dataValidation>
    <dataValidation type="list" allowBlank="1" showInputMessage="1" showErrorMessage="1" sqref="AI37" xr:uid="{00000000-0002-0000-0000-000005000000}">
      <formula1>"600"</formula1>
    </dataValidation>
    <dataValidation type="list" showInputMessage="1" showErrorMessage="1" sqref="G48:J48 L48:O48 AF48:AI48 V48:Y48 AA48:AD48 Q48:T48" xr:uid="{CE3DA36E-A73E-441D-9969-E8DF163E1D4F}">
      <formula1>"CENTUB,MAROWA,PRC,STZ,GGG,PVC-U,PEHD,PP,GF-UP (GFK)"</formula1>
    </dataValidation>
    <dataValidation type="list" showInputMessage="1" showErrorMessage="1" sqref="G49:J49 L49:O49 AF49:AI49 V49:Y49 AA49:AD49 Q49:T49" xr:uid="{D734616E-7561-44B2-8E41-CCBC81DFD12E}">
      <formula1>"bewehrt,SN 0.5,SN 2,SN 2.5,SN 4,SN 8,SN 10,SN 12,SN 16,SN 2500,SN 5000,SN 10000,EPOXY,PUR,ZM"</formula1>
    </dataValidation>
    <dataValidation type="list" showInputMessage="1" showErrorMessage="1" sqref="L47:O47 Q47:T47 V47:Y47 AA47:AD47 G47:J47 AF47:AI47" xr:uid="{FAE1856E-E533-419E-A079-F5360953E3A0}">
      <formula1>$B$1:$O$1</formula1>
    </dataValidation>
    <dataValidation type="list" showInputMessage="1" showErrorMessage="1" sqref="B23:H23" xr:uid="{BD7B4F01-E019-4FD9-95B6-403032172347}">
      <formula1>",ohne Kran,mit Kran"</formula1>
    </dataValidation>
    <dataValidation type="list" allowBlank="1" showInputMessage="1" showErrorMessage="1" sqref="B25:H25" xr:uid="{AC0E6002-8BD9-4CCB-8B4E-55CE8D972ADA}">
      <formula1>"mit Anhänger,ohne Anhänger/Solo,4/5-Achser,Sattelschlepper"</formula1>
    </dataValidation>
    <dataValidation type="list" allowBlank="1" showInputMessage="1" showErrorMessage="1" sqref="J19" xr:uid="{1A4EA8D4-0042-4DDC-A8E8-4ECFE3BD8566}">
      <formula1>"ja,nein"</formula1>
    </dataValidation>
    <dataValidation type="list" allowBlank="1" showInputMessage="1" showErrorMessage="1" sqref="J21" xr:uid="{8DA5EE69-540F-4892-9B32-15AD1139EBBA}">
      <formula1>",,,X"</formula1>
    </dataValidation>
    <dataValidation type="list" allowBlank="1" showInputMessage="1" showErrorMessage="1" sqref="R21 X21:Y21" xr:uid="{4CE183EB-7535-4083-B732-778490DE1ECD}">
      <formula1>"gelegentlich,13.00 - 15.00 Uhr, bis 12.00 Uhr, 07.00 - 9.00 Uhr,Fixzeit Toleranz 30 Min."</formula1>
    </dataValidation>
    <dataValidation type="list" allowBlank="1" showInputMessage="1" showErrorMessage="1" sqref="AE38:AH38" xr:uid="{00000000-0002-0000-0000-000007000000}">
      <formula1>$L$4:$AI$4</formula1>
    </dataValidation>
    <dataValidation type="list" allowBlank="1" showInputMessage="1" showErrorMessage="1" sqref="AE34:AH34" xr:uid="{16A25E5F-9C47-43AA-92CF-A0FB99BD8B87}">
      <formula1>$F$4</formula1>
    </dataValidation>
    <dataValidation type="list" allowBlank="1" showInputMessage="1" showErrorMessage="1" sqref="AE35:AH35" xr:uid="{2ADECDDE-8FC7-4865-AA9C-E4543505A560}">
      <formula1>"250,375,500,625,750,875,1000,1125,1250,1375,1500,1625,1750,1875,2000,2125,2250,2375,2500,2625,2750,2875,3000,3125,3250,3375,3500,3625,3750,3875,4000,4125,4250,4375,4500,4625,4750,5000,5125,5250,5375,5500,5625,5750,5875,6000"</formula1>
    </dataValidation>
    <dataValidation type="list" allowBlank="1" showInputMessage="1" showErrorMessage="1" sqref="Z19 Z21 Z23 Z25" xr:uid="{6B64EB9F-8B54-441B-965A-C49D61B92512}">
      <formula1>"X"</formula1>
    </dataValidation>
    <dataValidation type="list" allowBlank="1" showInputMessage="1" showErrorMessage="1" sqref="AE39:AH39" xr:uid="{EA8B2B3B-0ACD-4373-8F7C-3E23B8DC9171}">
      <formula1>"150"</formula1>
    </dataValidation>
    <dataValidation showInputMessage="1" showErrorMessage="1" sqref="J25:P25" xr:uid="{458E6D7C-7809-4340-B54B-4AA65902A84E}"/>
    <dataValidation type="list" allowBlank="1" showInputMessage="1" showErrorMessage="1" sqref="AE32:AH32" xr:uid="{2112DD2D-528A-4CAC-9C8C-6DD3397A0E0A}">
      <formula1>"250,500,750,1000,1250,1500,1750,2000,2250,2500,2750,3000,3250,3500,3750,4000,4250,4500,4750,5000,5250,5500,5750,6000,6250,6500,6750,7000"</formula1>
    </dataValidation>
    <dataValidation type="list" allowBlank="1" showInputMessage="1" showErrorMessage="1" sqref="AE33:AH33" xr:uid="{A0C02717-537A-44FF-B1DD-5095F61F36C1}">
      <formula1>Z3</formula1>
    </dataValidation>
    <dataValidation type="list" allowBlank="1" showInputMessage="1" showErrorMessage="1" sqref="AE31:AH31" xr:uid="{1C38B9FB-3C58-472F-826A-BFA71F9BC437}">
      <formula1>$R$1:$W$1</formula1>
    </dataValidation>
    <dataValidation type="list" allowBlank="1" showInputMessage="1" showErrorMessage="1" sqref="AE37:AH37" xr:uid="{28B54659-9712-44EB-AE85-52B927093308}">
      <formula1>$AA$1:$AB$1</formula1>
    </dataValidation>
    <dataValidation type="list" allowBlank="1" showInputMessage="1" showErrorMessage="1" sqref="AE36:AH36" xr:uid="{B47F97ED-DA94-4F34-90DD-6F699C811E09}">
      <formula1>$G$4</formula1>
    </dataValidation>
  </dataValidations>
  <printOptions horizontalCentered="1" verticalCentered="1"/>
  <pageMargins left="0.51181102362204722" right="0.43307086614173229" top="0.94488188976377963" bottom="0.31496062992125984" header="0.39370078740157483" footer="0.39370078740157483"/>
  <pageSetup paperSize="9" scale="98" orientation="portrait" r:id="rId1"/>
  <headerFooter>
    <oddHeader>&amp;LCREABETON AG
Bohler 5 · 6221 Rickenbach LU
0848 400 401 · info@creabeton.ch 
creabeton.ch&amp;R&amp;G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AutoSketch.Drawing.9" shapeId="1034" r:id="rId5">
          <objectPr defaultSize="0" autoPict="0" r:id="rId6">
            <anchor>
              <from>
                <xdr:col>11</xdr:col>
                <xdr:colOff>161925</xdr:colOff>
                <xdr:row>29</xdr:row>
                <xdr:rowOff>190500</xdr:rowOff>
              </from>
              <to>
                <xdr:col>23</xdr:col>
                <xdr:colOff>152400</xdr:colOff>
                <xdr:row>42</xdr:row>
                <xdr:rowOff>0</xdr:rowOff>
              </to>
            </anchor>
          </objectPr>
        </oleObject>
      </mc:Choice>
      <mc:Fallback>
        <oleObject progId="AutoSketch.Drawing.9" shapeId="1034" r:id="rId5"/>
      </mc:Fallback>
    </mc:AlternateContent>
    <mc:AlternateContent xmlns:mc="http://schemas.openxmlformats.org/markup-compatibility/2006">
      <mc:Choice Requires="x14">
        <oleObject progId="AutoSketch.Drawing.9" shapeId="1527" r:id="rId7">
          <objectPr defaultSize="0" autoPict="0" r:id="rId8">
            <anchor moveWithCells="1">
              <from>
                <xdr:col>0</xdr:col>
                <xdr:colOff>9525</xdr:colOff>
                <xdr:row>27</xdr:row>
                <xdr:rowOff>9525</xdr:rowOff>
              </from>
              <to>
                <xdr:col>12</xdr:col>
                <xdr:colOff>38100</xdr:colOff>
                <xdr:row>43</xdr:row>
                <xdr:rowOff>142875</xdr:rowOff>
              </to>
            </anchor>
          </objectPr>
        </oleObject>
      </mc:Choice>
      <mc:Fallback>
        <oleObject progId="AutoSketch.Drawing.9" shapeId="1527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2024-11-21T14:42:10Z</cp:lastPrinted>
  <dcterms:created xsi:type="dcterms:W3CDTF">2008-09-29T09:08:30Z</dcterms:created>
  <dcterms:modified xsi:type="dcterms:W3CDTF">2024-11-21T14:42:12Z</dcterms:modified>
</cp:coreProperties>
</file>